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490" windowHeight="7755" tabRatio="928"/>
  </bookViews>
  <sheets>
    <sheet name="Start Page" sheetId="11" r:id="rId1"/>
    <sheet name="GS Pay Calculator" sheetId="26" state="hidden" r:id="rId2"/>
    <sheet name="GS Pay - No Locality" sheetId="27" state="hidden" r:id="rId3"/>
    <sheet name="Locality Rates" sheetId="28" state="hidden" r:id="rId4"/>
    <sheet name="Pay Retention &amp; Special Rates" sheetId="25" r:id="rId5"/>
    <sheet name="GS Pay Scale" sheetId="7" r:id="rId6"/>
    <sheet name="Shift Firefighters" sheetId="1" r:id="rId7"/>
    <sheet name="Chief, Training, Inspectors" sheetId="4" r:id="rId8"/>
    <sheet name="." sheetId="29" r:id="rId9"/>
  </sheets>
  <externalReferences>
    <externalReference r:id="rId10"/>
    <externalReference r:id="rId11"/>
  </externalReferences>
  <definedNames>
    <definedName name="COLA">#REF!</definedName>
    <definedName name="Hours">[1]Data!$A$6:$A$8</definedName>
    <definedName name="Inspectors">'GS Pay Calculator'!$A$33:$A$34</definedName>
    <definedName name="Locality">'Locality Rates'!$A$2:$A$58</definedName>
    <definedName name="Locality2005">'[2]Locality Rates'!$A$2:$A$52</definedName>
    <definedName name="Payperiods">'GS Pay Calculator'!#REF!</definedName>
    <definedName name="Post">'GS Pay Calculator'!$A$36:$A$37</definedName>
    <definedName name="_xlnm.Print_Area" localSheetId="7">'Chief, Training, Inspectors'!$A$1:$M$151</definedName>
    <definedName name="_xlnm.Print_Area" localSheetId="3">'Locality Rates'!$A$1:$C$62</definedName>
    <definedName name="Schedule">[1]Data!$A$2:$A$3</definedName>
    <definedName name="Shift">'GS Pay Calculator'!$A$31:$A$34</definedName>
    <definedName name="Shift1">'GS Pay Calculator'!$A$31:$A$34</definedName>
    <definedName name="TABLE" localSheetId="5">'GS Pay Scale'!$A$6:$K$18</definedName>
    <definedName name="TABLE_10" localSheetId="5">'GS Pay Scale'!$A$6:$K$18</definedName>
    <definedName name="TABLE_11" localSheetId="5">'GS Pay Scale'!$A$6:$K$18</definedName>
    <definedName name="TABLE_12" localSheetId="5">'GS Pay Scale'!$A$6:$K$18</definedName>
    <definedName name="TABLE_13" localSheetId="5">'GS Pay Scale'!$A$6:$K$18</definedName>
    <definedName name="TABLE_14" localSheetId="5">'GS Pay Scale'!$A$6:$K$18</definedName>
    <definedName name="TABLE_15" localSheetId="5">'GS Pay Scale'!$A$6:$K$18</definedName>
    <definedName name="TABLE_16" localSheetId="5">'GS Pay Scale'!$A$6:$K$18</definedName>
    <definedName name="TABLE_17" localSheetId="5">'GS Pay Scale'!$A$6:$K$18</definedName>
    <definedName name="TABLE_18" localSheetId="5">'GS Pay Scale'!$A$6:$K$18</definedName>
    <definedName name="TABLE_19" localSheetId="5">'GS Pay Scale'!$A$6:$K$18</definedName>
    <definedName name="TABLE_2" localSheetId="5">'GS Pay Scale'!$A$6:$K$18</definedName>
    <definedName name="TABLE_20" localSheetId="5">'GS Pay Scale'!$A$6:$K$18</definedName>
    <definedName name="TABLE_21" localSheetId="5">'GS Pay Scale'!$A$6:$K$18</definedName>
    <definedName name="TABLE_22" localSheetId="5">'GS Pay Scale'!$A$6:$K$18</definedName>
    <definedName name="TABLE_23" localSheetId="5">'GS Pay Scale'!$A$6:$K$18</definedName>
    <definedName name="TABLE_24" localSheetId="5">'GS Pay Scale'!$A$6:$K$18</definedName>
    <definedName name="TABLE_25" localSheetId="5">'GS Pay Scale'!$A$6:$K$18</definedName>
    <definedName name="TABLE_26" localSheetId="5">'GS Pay Scale'!$A$6:$K$18</definedName>
    <definedName name="TABLE_27" localSheetId="5">'GS Pay Scale'!$A$6:$K$18</definedName>
    <definedName name="TABLE_28" localSheetId="5">'GS Pay Scale'!$A$6:$K$18</definedName>
    <definedName name="TABLE_29" localSheetId="5">'GS Pay Scale'!$A$6:$K$18</definedName>
    <definedName name="TABLE_3" localSheetId="5">'GS Pay Scale'!$A$6:$K$18</definedName>
    <definedName name="TABLE_30" localSheetId="5">'GS Pay Scale'!$A$6:$K$18</definedName>
    <definedName name="TABLE_31" localSheetId="5">'GS Pay Scale'!$A$6:$K$18</definedName>
    <definedName name="TABLE_32" localSheetId="5">'GS Pay Scale'!$A$22:$K$33</definedName>
    <definedName name="TABLE_4" localSheetId="5">'GS Pay Scale'!$A$6:$K$18</definedName>
    <definedName name="TABLE_5" localSheetId="5">'GS Pay Scale'!$A$6:$K$18</definedName>
    <definedName name="TABLE_6" localSheetId="5">'GS Pay Scale'!$A$6:$K$18</definedName>
    <definedName name="TABLE_7" localSheetId="5">'GS Pay Scale'!$A$6:$K$18</definedName>
    <definedName name="TABLE_8" localSheetId="5">'GS Pay Scale'!$A$6:$K$18</definedName>
    <definedName name="TABLE_9" localSheetId="5">'GS Pay Scale'!$A$6:$K$18</definedName>
  </definedNames>
  <calcPr calcId="145621"/>
</workbook>
</file>

<file path=xl/calcChain.xml><?xml version="1.0" encoding="utf-8"?>
<calcChain xmlns="http://schemas.openxmlformats.org/spreadsheetml/2006/main">
  <c r="E50" i="28" l="1"/>
  <c r="C50" i="28" s="1"/>
  <c r="E49" i="28"/>
  <c r="C49" i="28"/>
  <c r="E48" i="28"/>
  <c r="C48" i="28" s="1"/>
  <c r="E47" i="28"/>
  <c r="C47" i="28" s="1"/>
  <c r="E46" i="28"/>
  <c r="C46" i="28" s="1"/>
  <c r="E45" i="28"/>
  <c r="C45" i="28" s="1"/>
  <c r="E23" i="28"/>
  <c r="C23" i="28" s="1"/>
  <c r="E22" i="28"/>
  <c r="C22" i="28"/>
  <c r="E21" i="28"/>
  <c r="C21" i="28" s="1"/>
  <c r="E20" i="28"/>
  <c r="C20" i="28" s="1"/>
  <c r="E19" i="28"/>
  <c r="C19" i="28" s="1"/>
  <c r="E18" i="28"/>
  <c r="C18" i="28" s="1"/>
  <c r="E17" i="28"/>
  <c r="C17" i="28" s="1"/>
  <c r="A1" i="11" l="1"/>
  <c r="A56" i="11"/>
  <c r="C63" i="11"/>
  <c r="E1" i="1" s="1"/>
  <c r="F4" i="1" s="1"/>
  <c r="A5" i="25"/>
  <c r="E58" i="28"/>
  <c r="C58" i="28" s="1"/>
  <c r="E57" i="28"/>
  <c r="C57" i="28" s="1"/>
  <c r="E24" i="28"/>
  <c r="C24" i="28" s="1"/>
  <c r="E25" i="28"/>
  <c r="C25" i="28"/>
  <c r="E4" i="28"/>
  <c r="C4" i="28" s="1"/>
  <c r="E3" i="28"/>
  <c r="C3" i="28" s="1"/>
  <c r="E56" i="28"/>
  <c r="C56" i="28" s="1"/>
  <c r="E55" i="28"/>
  <c r="C55" i="28" s="1"/>
  <c r="E54" i="28"/>
  <c r="C54" i="28" s="1"/>
  <c r="E53" i="28"/>
  <c r="C53" i="28" s="1"/>
  <c r="E52" i="28"/>
  <c r="C52" i="28" s="1"/>
  <c r="E51" i="28"/>
  <c r="C51" i="28" s="1"/>
  <c r="E44" i="28"/>
  <c r="C44" i="28" s="1"/>
  <c r="E43" i="28"/>
  <c r="C43" i="28" s="1"/>
  <c r="E42" i="28"/>
  <c r="C42" i="28" s="1"/>
  <c r="E41" i="28"/>
  <c r="C41" i="28" s="1"/>
  <c r="E40" i="28"/>
  <c r="C40" i="28" s="1"/>
  <c r="E39" i="28"/>
  <c r="C39" i="28" s="1"/>
  <c r="E38" i="28"/>
  <c r="C38" i="28" s="1"/>
  <c r="E37" i="28"/>
  <c r="C37" i="28" s="1"/>
  <c r="E36" i="28"/>
  <c r="C36" i="28" s="1"/>
  <c r="E35" i="28"/>
  <c r="C35" i="28" s="1"/>
  <c r="E34" i="28"/>
  <c r="C34" i="28" s="1"/>
  <c r="E33" i="28"/>
  <c r="C33" i="28" s="1"/>
  <c r="E32" i="28"/>
  <c r="C32" i="28" s="1"/>
  <c r="E31" i="28"/>
  <c r="C31" i="28" s="1"/>
  <c r="E30" i="28"/>
  <c r="C30" i="28" s="1"/>
  <c r="E29" i="28"/>
  <c r="C29" i="28" s="1"/>
  <c r="E28" i="28"/>
  <c r="C28" i="28" s="1"/>
  <c r="E27" i="28"/>
  <c r="E26" i="28"/>
  <c r="C26" i="28" s="1"/>
  <c r="E16" i="28"/>
  <c r="C16" i="28" s="1"/>
  <c r="E15" i="28"/>
  <c r="C15" i="28" s="1"/>
  <c r="E14" i="28"/>
  <c r="C14" i="28" s="1"/>
  <c r="E13" i="28"/>
  <c r="C13" i="28" s="1"/>
  <c r="E12" i="28"/>
  <c r="C12" i="28" s="1"/>
  <c r="E11" i="28"/>
  <c r="C11" i="28" s="1"/>
  <c r="E10" i="28"/>
  <c r="C10" i="28" s="1"/>
  <c r="E9" i="28"/>
  <c r="C9" i="28" s="1"/>
  <c r="E8" i="28"/>
  <c r="C8" i="28" s="1"/>
  <c r="E7" i="28"/>
  <c r="C7" i="28" s="1"/>
  <c r="E6" i="28"/>
  <c r="C6" i="28" s="1"/>
  <c r="E5" i="28"/>
  <c r="C5" i="28" s="1"/>
  <c r="E2" i="28"/>
  <c r="F48" i="11"/>
  <c r="G4" i="7" s="1"/>
  <c r="C27" i="28"/>
  <c r="C2" i="28"/>
  <c r="A2" i="7"/>
  <c r="K17" i="26"/>
  <c r="E10" i="26" s="1"/>
  <c r="K18" i="26"/>
  <c r="K19" i="26"/>
  <c r="K20" i="26"/>
  <c r="K21" i="26"/>
  <c r="K22" i="26"/>
  <c r="K23" i="26"/>
  <c r="K24" i="26"/>
  <c r="F15" i="25"/>
  <c r="C48" i="11"/>
  <c r="H20" i="25" s="1"/>
  <c r="F25" i="25"/>
  <c r="F28" i="25" s="1"/>
  <c r="B23" i="25"/>
  <c r="B26" i="25" s="1"/>
  <c r="G3" i="4"/>
  <c r="B45" i="4" s="1"/>
  <c r="B48" i="4" s="1"/>
  <c r="H2" i="4"/>
  <c r="G3" i="1"/>
  <c r="B46" i="1" s="1"/>
  <c r="B49" i="1" s="1"/>
  <c r="H2" i="1"/>
  <c r="J17" i="26"/>
  <c r="J18" i="26"/>
  <c r="J19" i="26"/>
  <c r="J20" i="26"/>
  <c r="J21" i="26" s="1"/>
  <c r="J22" i="26" s="1"/>
  <c r="J23" i="26" s="1"/>
  <c r="J24" i="26" s="1"/>
  <c r="D2" i="26"/>
  <c r="F2" i="26"/>
  <c r="H2" i="26" s="1"/>
  <c r="J2" i="26" s="1"/>
  <c r="B16" i="26" s="1"/>
  <c r="D16" i="26" s="1"/>
  <c r="F16" i="26" s="1"/>
  <c r="H16" i="26" s="1"/>
  <c r="A59" i="11"/>
  <c r="A60" i="11" s="1"/>
  <c r="A61" i="11" s="1"/>
  <c r="A62" i="11" s="1"/>
  <c r="B102" i="4" l="1"/>
  <c r="B105" i="4" s="1"/>
  <c r="B57" i="4"/>
  <c r="B60" i="4" s="1"/>
  <c r="B34" i="4"/>
  <c r="B37" i="4" s="1"/>
  <c r="B79" i="4"/>
  <c r="B82" i="4" s="1"/>
  <c r="B68" i="4"/>
  <c r="B71" i="4" s="1"/>
  <c r="C59" i="11"/>
  <c r="C60" i="11" s="1"/>
  <c r="C61" i="11" s="1"/>
  <c r="C62" i="11" s="1"/>
  <c r="B113" i="4"/>
  <c r="B116" i="4" s="1"/>
  <c r="B12" i="4"/>
  <c r="B15" i="4" s="1"/>
  <c r="B23" i="4"/>
  <c r="B26" i="4" s="1"/>
  <c r="B135" i="4"/>
  <c r="B138" i="4" s="1"/>
  <c r="B124" i="4"/>
  <c r="B127" i="4" s="1"/>
  <c r="B90" i="4"/>
  <c r="B93" i="4" s="1"/>
  <c r="B74" i="1"/>
  <c r="B77" i="1" s="1"/>
  <c r="B110" i="1"/>
  <c r="B113" i="1" s="1"/>
  <c r="D11" i="26"/>
  <c r="F11" i="26" s="1"/>
  <c r="H11" i="26" s="1"/>
  <c r="J11" i="26" s="1"/>
  <c r="B25" i="26" s="1"/>
  <c r="D25" i="26" s="1"/>
  <c r="F25" i="26" s="1"/>
  <c r="H25" i="26" s="1"/>
  <c r="B12" i="27" s="1"/>
  <c r="B37" i="1"/>
  <c r="B40" i="1" s="1"/>
  <c r="B65" i="1"/>
  <c r="B68" i="1" s="1"/>
  <c r="B101" i="1"/>
  <c r="B104" i="1" s="1"/>
  <c r="G3" i="7"/>
  <c r="D20" i="25"/>
  <c r="D22" i="25" s="1"/>
  <c r="D28" i="25" s="1"/>
  <c r="H24" i="25"/>
  <c r="H23" i="25" s="1"/>
  <c r="H22" i="25"/>
  <c r="H21" i="25" s="1"/>
  <c r="B55" i="1"/>
  <c r="B58" i="1" s="1"/>
  <c r="B19" i="1"/>
  <c r="B22" i="1" s="1"/>
  <c r="B28" i="1"/>
  <c r="B31" i="1" s="1"/>
  <c r="B83" i="1"/>
  <c r="B86" i="1" s="1"/>
  <c r="B10" i="1"/>
  <c r="B13" i="1" s="1"/>
  <c r="B92" i="1"/>
  <c r="B95" i="1" s="1"/>
  <c r="E9" i="26"/>
  <c r="G9" i="26" s="1"/>
  <c r="I9" i="26" s="1"/>
  <c r="K9" i="26" s="1"/>
  <c r="C23" i="26" s="1"/>
  <c r="E23" i="26" s="1"/>
  <c r="G23" i="26" s="1"/>
  <c r="I23" i="26" s="1"/>
  <c r="D5" i="26"/>
  <c r="F5" i="26" s="1"/>
  <c r="H5" i="26" s="1"/>
  <c r="J5" i="26" s="1"/>
  <c r="B19" i="26" s="1"/>
  <c r="D19" i="26" s="1"/>
  <c r="F19" i="26" s="1"/>
  <c r="H19" i="26" s="1"/>
  <c r="B6" i="27" s="1"/>
  <c r="E4" i="26"/>
  <c r="G4" i="26" s="1"/>
  <c r="I4" i="26" s="1"/>
  <c r="K4" i="26" s="1"/>
  <c r="C18" i="26" s="1"/>
  <c r="E18" i="26" s="1"/>
  <c r="G18" i="26" s="1"/>
  <c r="I18" i="26" s="1"/>
  <c r="D14" i="26"/>
  <c r="F14" i="26" s="1"/>
  <c r="H14" i="26" s="1"/>
  <c r="J14" i="26" s="1"/>
  <c r="B28" i="26" s="1"/>
  <c r="D28" i="26" s="1"/>
  <c r="F28" i="26" s="1"/>
  <c r="H28" i="26" s="1"/>
  <c r="B15" i="27" s="1"/>
  <c r="D7" i="26"/>
  <c r="F7" i="26" s="1"/>
  <c r="H7" i="26" s="1"/>
  <c r="J7" i="26" s="1"/>
  <c r="B21" i="26" s="1"/>
  <c r="D21" i="26" s="1"/>
  <c r="F21" i="26" s="1"/>
  <c r="H21" i="26" s="1"/>
  <c r="B8" i="27" s="1"/>
  <c r="D13" i="26"/>
  <c r="F13" i="26" s="1"/>
  <c r="H13" i="26" s="1"/>
  <c r="J13" i="26" s="1"/>
  <c r="B27" i="26" s="1"/>
  <c r="D27" i="26" s="1"/>
  <c r="F27" i="26" s="1"/>
  <c r="H27" i="26" s="1"/>
  <c r="B14" i="27" s="1"/>
  <c r="D8" i="26"/>
  <c r="E7" i="26"/>
  <c r="G7" i="26" s="1"/>
  <c r="I7" i="26" s="1"/>
  <c r="K7" i="26" s="1"/>
  <c r="C21" i="26" s="1"/>
  <c r="E21" i="26" s="1"/>
  <c r="G21" i="26" s="1"/>
  <c r="I21" i="26" s="1"/>
  <c r="E8" i="26"/>
  <c r="G8" i="26" s="1"/>
  <c r="I8" i="26" s="1"/>
  <c r="K8" i="26" s="1"/>
  <c r="C22" i="26" s="1"/>
  <c r="E22" i="26" s="1"/>
  <c r="G22" i="26" s="1"/>
  <c r="I22" i="26" s="1"/>
  <c r="E13" i="26"/>
  <c r="G13" i="26" s="1"/>
  <c r="I13" i="26" s="1"/>
  <c r="K13" i="26" s="1"/>
  <c r="C27" i="26" s="1"/>
  <c r="E27" i="26" s="1"/>
  <c r="G27" i="26" s="1"/>
  <c r="I27" i="26" s="1"/>
  <c r="D12" i="26"/>
  <c r="F12" i="26" s="1"/>
  <c r="H12" i="26" s="1"/>
  <c r="J12" i="26" s="1"/>
  <c r="B26" i="26" s="1"/>
  <c r="D26" i="26" s="1"/>
  <c r="F26" i="26" s="1"/>
  <c r="H26" i="26" s="1"/>
  <c r="B13" i="27" s="1"/>
  <c r="E11" i="26"/>
  <c r="G11" i="26" s="1"/>
  <c r="I11" i="26" s="1"/>
  <c r="K11" i="26" s="1"/>
  <c r="C25" i="26" s="1"/>
  <c r="E25" i="26" s="1"/>
  <c r="G25" i="26" s="1"/>
  <c r="I25" i="26" s="1"/>
  <c r="E14" i="26"/>
  <c r="G14" i="26" s="1"/>
  <c r="I14" i="26" s="1"/>
  <c r="K14" i="26" s="1"/>
  <c r="C28" i="26" s="1"/>
  <c r="E28" i="26" s="1"/>
  <c r="G28" i="26" s="1"/>
  <c r="I28" i="26" s="1"/>
  <c r="D4" i="26"/>
  <c r="F4" i="26" s="1"/>
  <c r="H4" i="26" s="1"/>
  <c r="J4" i="26" s="1"/>
  <c r="B18" i="26" s="1"/>
  <c r="D18" i="26" s="1"/>
  <c r="F18" i="26" s="1"/>
  <c r="H18" i="26" s="1"/>
  <c r="B5" i="27" s="1"/>
  <c r="E5" i="26"/>
  <c r="G5" i="26" s="1"/>
  <c r="I5" i="26" s="1"/>
  <c r="K5" i="26" s="1"/>
  <c r="C19" i="26" s="1"/>
  <c r="E19" i="26" s="1"/>
  <c r="G19" i="26" s="1"/>
  <c r="I19" i="26" s="1"/>
  <c r="D6" i="26"/>
  <c r="F6" i="26" s="1"/>
  <c r="H6" i="26" s="1"/>
  <c r="J6" i="26" s="1"/>
  <c r="B20" i="26" s="1"/>
  <c r="D20" i="26" s="1"/>
  <c r="F20" i="26" s="1"/>
  <c r="H20" i="26" s="1"/>
  <c r="B7" i="27" s="1"/>
  <c r="E6" i="26"/>
  <c r="G6" i="26" s="1"/>
  <c r="I6" i="26" s="1"/>
  <c r="K6" i="26" s="1"/>
  <c r="C20" i="26" s="1"/>
  <c r="E20" i="26" s="1"/>
  <c r="G20" i="26" s="1"/>
  <c r="I20" i="26" s="1"/>
  <c r="D3" i="26"/>
  <c r="F3" i="26" s="1"/>
  <c r="H3" i="26" s="1"/>
  <c r="J3" i="26" s="1"/>
  <c r="B17" i="26" s="1"/>
  <c r="D17" i="26" s="1"/>
  <c r="F17" i="26" s="1"/>
  <c r="H17" i="26" s="1"/>
  <c r="B4" i="27" s="1"/>
  <c r="E3" i="26"/>
  <c r="G3" i="26" s="1"/>
  <c r="I3" i="26" s="1"/>
  <c r="K3" i="26" s="1"/>
  <c r="C17" i="26" s="1"/>
  <c r="E17" i="26" s="1"/>
  <c r="G17" i="26" s="1"/>
  <c r="I17" i="26" s="1"/>
  <c r="D10" i="26"/>
  <c r="F10" i="26" s="1"/>
  <c r="H10" i="26" s="1"/>
  <c r="J10" i="26" s="1"/>
  <c r="B24" i="26" s="1"/>
  <c r="D24" i="26" s="1"/>
  <c r="F24" i="26" s="1"/>
  <c r="H24" i="26" s="1"/>
  <c r="B11" i="27" s="1"/>
  <c r="D9" i="26"/>
  <c r="F9" i="26" s="1"/>
  <c r="H9" i="26" s="1"/>
  <c r="J9" i="26" s="1"/>
  <c r="B23" i="26" s="1"/>
  <c r="D23" i="26" s="1"/>
  <c r="F23" i="26" s="1"/>
  <c r="H23" i="26" s="1"/>
  <c r="B10" i="27" s="1"/>
  <c r="E12" i="26"/>
  <c r="G12" i="26" s="1"/>
  <c r="I12" i="26" s="1"/>
  <c r="K12" i="26" s="1"/>
  <c r="C26" i="26" s="1"/>
  <c r="E26" i="26" s="1"/>
  <c r="G26" i="26" s="1"/>
  <c r="I26" i="26" s="1"/>
  <c r="F8" i="26"/>
  <c r="H8" i="26" s="1"/>
  <c r="J8" i="26" s="1"/>
  <c r="B22" i="26" s="1"/>
  <c r="D22" i="26" s="1"/>
  <c r="F22" i="26" s="1"/>
  <c r="H22" i="26" s="1"/>
  <c r="B9" i="27" s="1"/>
  <c r="G10" i="26"/>
  <c r="I10" i="26" s="1"/>
  <c r="K10" i="26" s="1"/>
  <c r="C24" i="26" s="1"/>
  <c r="E24" i="26" s="1"/>
  <c r="G24" i="26" s="1"/>
  <c r="I24" i="26" s="1"/>
  <c r="A21" i="11"/>
  <c r="D1" i="7"/>
  <c r="E5" i="7" s="1"/>
  <c r="E1" i="4"/>
  <c r="F4" i="4" s="1"/>
  <c r="B14" i="7" l="1"/>
  <c r="B9" i="7"/>
  <c r="D7" i="1" s="1"/>
  <c r="D9" i="1" s="1"/>
  <c r="B10" i="7"/>
  <c r="D16" i="1" s="1"/>
  <c r="D18" i="1" s="1"/>
  <c r="B19" i="7"/>
  <c r="D98" i="1" s="1"/>
  <c r="D100" i="1" s="1"/>
  <c r="B11" i="7"/>
  <c r="D29" i="4" s="1"/>
  <c r="D33" i="4" s="1"/>
  <c r="B15" i="7"/>
  <c r="D74" i="4" s="1"/>
  <c r="B13" i="7"/>
  <c r="D52" i="4" s="1"/>
  <c r="B17" i="7"/>
  <c r="D80" i="1" s="1"/>
  <c r="D82" i="1" s="1"/>
  <c r="B20" i="7"/>
  <c r="D130" i="4" s="1"/>
  <c r="D25" i="25"/>
  <c r="D21" i="25"/>
  <c r="H27" i="25"/>
  <c r="H30" i="25"/>
  <c r="C13" i="27"/>
  <c r="D13" i="27" s="1"/>
  <c r="E13" i="27" s="1"/>
  <c r="C4" i="27"/>
  <c r="D4" i="27" s="1"/>
  <c r="C7" i="27"/>
  <c r="C12" i="7" s="1"/>
  <c r="C15" i="27"/>
  <c r="C20" i="7" s="1"/>
  <c r="B18" i="7"/>
  <c r="D108" i="4" s="1"/>
  <c r="B12" i="7"/>
  <c r="D34" i="1" s="1"/>
  <c r="D36" i="1" s="1"/>
  <c r="C6" i="27"/>
  <c r="C11" i="7" s="1"/>
  <c r="C10" i="27"/>
  <c r="D10" i="27" s="1"/>
  <c r="C11" i="27"/>
  <c r="C16" i="7" s="1"/>
  <c r="C9" i="27"/>
  <c r="D9" i="27" s="1"/>
  <c r="C14" i="27"/>
  <c r="C19" i="7" s="1"/>
  <c r="C5" i="27"/>
  <c r="C10" i="7" s="1"/>
  <c r="C12" i="27"/>
  <c r="D12" i="27" s="1"/>
  <c r="B16" i="7"/>
  <c r="D85" i="4" s="1"/>
  <c r="C8" i="27"/>
  <c r="C13" i="7" s="1"/>
  <c r="D63" i="4"/>
  <c r="D52" i="1"/>
  <c r="D54" i="1" s="1"/>
  <c r="D18" i="7" l="1"/>
  <c r="F89" i="1" s="1"/>
  <c r="F91" i="1" s="1"/>
  <c r="D43" i="1"/>
  <c r="D45" i="1" s="1"/>
  <c r="D48" i="1" s="1"/>
  <c r="D18" i="4"/>
  <c r="D22" i="4" s="1"/>
  <c r="D62" i="1"/>
  <c r="D64" i="1" s="1"/>
  <c r="D70" i="1" s="1"/>
  <c r="D119" i="4"/>
  <c r="D121" i="4" s="1"/>
  <c r="D97" i="4"/>
  <c r="D101" i="4" s="1"/>
  <c r="D31" i="4"/>
  <c r="D39" i="4" s="1"/>
  <c r="D7" i="4"/>
  <c r="D9" i="4" s="1"/>
  <c r="D107" i="1"/>
  <c r="D109" i="1" s="1"/>
  <c r="D108" i="1" s="1"/>
  <c r="D25" i="1"/>
  <c r="D27" i="1" s="1"/>
  <c r="D30" i="1" s="1"/>
  <c r="D8" i="27"/>
  <c r="E8" i="27" s="1"/>
  <c r="D5" i="27"/>
  <c r="E5" i="27" s="1"/>
  <c r="D89" i="1"/>
  <c r="D91" i="1" s="1"/>
  <c r="D97" i="1" s="1"/>
  <c r="D15" i="27"/>
  <c r="E15" i="27" s="1"/>
  <c r="D11" i="27"/>
  <c r="E11" i="27" s="1"/>
  <c r="C9" i="7"/>
  <c r="E7" i="1" s="1"/>
  <c r="E9" i="1" s="1"/>
  <c r="D7" i="27"/>
  <c r="E7" i="27" s="1"/>
  <c r="C18" i="7"/>
  <c r="E89" i="1" s="1"/>
  <c r="E91" i="1" s="1"/>
  <c r="E94" i="1" s="1"/>
  <c r="D40" i="4"/>
  <c r="D42" i="4" s="1"/>
  <c r="D14" i="27"/>
  <c r="D19" i="7" s="1"/>
  <c r="D71" i="1"/>
  <c r="G122" i="1" s="1"/>
  <c r="C14" i="7"/>
  <c r="E52" i="1" s="1"/>
  <c r="E54" i="1" s="1"/>
  <c r="D6" i="27"/>
  <c r="D11" i="7" s="1"/>
  <c r="C17" i="7"/>
  <c r="E97" i="4" s="1"/>
  <c r="C15" i="7"/>
  <c r="E62" i="1" s="1"/>
  <c r="E64" i="1" s="1"/>
  <c r="D32" i="4"/>
  <c r="D110" i="4"/>
  <c r="D112" i="4"/>
  <c r="E18" i="7"/>
  <c r="F13" i="27"/>
  <c r="D134" i="4"/>
  <c r="D132" i="4"/>
  <c r="D14" i="7"/>
  <c r="E9" i="27"/>
  <c r="D42" i="1"/>
  <c r="D35" i="1"/>
  <c r="D39" i="1"/>
  <c r="D78" i="4"/>
  <c r="D76" i="4"/>
  <c r="E71" i="1"/>
  <c r="E73" i="1" s="1"/>
  <c r="E85" i="4"/>
  <c r="D53" i="1"/>
  <c r="D60" i="1"/>
  <c r="D57" i="1"/>
  <c r="E98" i="1"/>
  <c r="E100" i="1" s="1"/>
  <c r="E119" i="4"/>
  <c r="D12" i="1"/>
  <c r="D15" i="1"/>
  <c r="D8" i="1"/>
  <c r="D89" i="4"/>
  <c r="G149" i="4"/>
  <c r="D35" i="4" s="1"/>
  <c r="D34" i="4" s="1"/>
  <c r="D87" i="4"/>
  <c r="E40" i="4"/>
  <c r="E34" i="1"/>
  <c r="E36" i="1" s="1"/>
  <c r="E10" i="27"/>
  <c r="D15" i="7"/>
  <c r="D67" i="4"/>
  <c r="D65" i="4"/>
  <c r="D56" i="4"/>
  <c r="D54" i="4"/>
  <c r="D21" i="1"/>
  <c r="D24" i="1"/>
  <c r="D17" i="1"/>
  <c r="E4" i="27"/>
  <c r="D9" i="7"/>
  <c r="E130" i="4"/>
  <c r="E107" i="1"/>
  <c r="E109" i="1" s="1"/>
  <c r="E29" i="4"/>
  <c r="E25" i="1"/>
  <c r="E27" i="1" s="1"/>
  <c r="D17" i="7"/>
  <c r="E12" i="27"/>
  <c r="E18" i="4"/>
  <c r="E16" i="1"/>
  <c r="E18" i="1" s="1"/>
  <c r="D85" i="1"/>
  <c r="D81" i="1"/>
  <c r="D88" i="1"/>
  <c r="E43" i="1"/>
  <c r="E45" i="1" s="1"/>
  <c r="E52" i="4"/>
  <c r="D99" i="1"/>
  <c r="D103" i="1"/>
  <c r="D106" i="1"/>
  <c r="F108" i="4" l="1"/>
  <c r="D10" i="7"/>
  <c r="F18" i="4" s="1"/>
  <c r="D13" i="7"/>
  <c r="F43" i="1" s="1"/>
  <c r="F45" i="1" s="1"/>
  <c r="D51" i="1"/>
  <c r="D44" i="1"/>
  <c r="D20" i="4"/>
  <c r="D25" i="4" s="1"/>
  <c r="D123" i="4"/>
  <c r="D126" i="4" s="1"/>
  <c r="D99" i="4"/>
  <c r="D104" i="4" s="1"/>
  <c r="D115" i="1"/>
  <c r="D11" i="4"/>
  <c r="D10" i="4" s="1"/>
  <c r="D67" i="1"/>
  <c r="D63" i="1"/>
  <c r="D36" i="4"/>
  <c r="D30" i="4"/>
  <c r="D112" i="1"/>
  <c r="D33" i="1"/>
  <c r="D26" i="1"/>
  <c r="E14" i="27"/>
  <c r="F14" i="27" s="1"/>
  <c r="D90" i="1"/>
  <c r="E7" i="4"/>
  <c r="E11" i="4" s="1"/>
  <c r="D16" i="7"/>
  <c r="F85" i="4" s="1"/>
  <c r="D94" i="1"/>
  <c r="D12" i="7"/>
  <c r="F34" i="1" s="1"/>
  <c r="F36" i="1" s="1"/>
  <c r="D20" i="7"/>
  <c r="F130" i="4" s="1"/>
  <c r="E97" i="1"/>
  <c r="E93" i="1"/>
  <c r="E92" i="1" s="1"/>
  <c r="D44" i="4"/>
  <c r="D47" i="4" s="1"/>
  <c r="E90" i="1"/>
  <c r="E108" i="4"/>
  <c r="E110" i="4" s="1"/>
  <c r="E109" i="4" s="1"/>
  <c r="D73" i="1"/>
  <c r="D75" i="1" s="1"/>
  <c r="D74" i="1" s="1"/>
  <c r="E63" i="4"/>
  <c r="E65" i="4" s="1"/>
  <c r="E74" i="4"/>
  <c r="E76" i="4" s="1"/>
  <c r="E6" i="27"/>
  <c r="E11" i="7" s="1"/>
  <c r="E80" i="1"/>
  <c r="E82" i="1" s="1"/>
  <c r="E88" i="1" s="1"/>
  <c r="D56" i="1"/>
  <c r="D55" i="1" s="1"/>
  <c r="D58" i="1" s="1"/>
  <c r="D59" i="1" s="1"/>
  <c r="D38" i="1"/>
  <c r="D37" i="1" s="1"/>
  <c r="D40" i="1" s="1"/>
  <c r="D41" i="1" s="1"/>
  <c r="D84" i="1"/>
  <c r="D83" i="1" s="1"/>
  <c r="D86" i="1" s="1"/>
  <c r="D87" i="1" s="1"/>
  <c r="D11" i="1"/>
  <c r="D10" i="1" s="1"/>
  <c r="D13" i="1" s="1"/>
  <c r="D14" i="1" s="1"/>
  <c r="D102" i="1"/>
  <c r="D101" i="1" s="1"/>
  <c r="D104" i="1" s="1"/>
  <c r="D105" i="1" s="1"/>
  <c r="D93" i="1"/>
  <c r="D92" i="1" s="1"/>
  <c r="D66" i="1"/>
  <c r="D65" i="1" s="1"/>
  <c r="D47" i="1"/>
  <c r="D46" i="1" s="1"/>
  <c r="D20" i="1"/>
  <c r="D19" i="1" s="1"/>
  <c r="D22" i="1" s="1"/>
  <c r="D23" i="1" s="1"/>
  <c r="F90" i="1"/>
  <c r="F93" i="1"/>
  <c r="F92" i="1" s="1"/>
  <c r="F97" i="1"/>
  <c r="F94" i="1"/>
  <c r="E17" i="1"/>
  <c r="E21" i="1"/>
  <c r="E24" i="1"/>
  <c r="E20" i="1"/>
  <c r="E19" i="1" s="1"/>
  <c r="E30" i="1"/>
  <c r="E33" i="1"/>
  <c r="E26" i="1"/>
  <c r="E29" i="1"/>
  <c r="E28" i="1" s="1"/>
  <c r="E9" i="7"/>
  <c r="F4" i="27"/>
  <c r="E99" i="4"/>
  <c r="E101" i="4"/>
  <c r="D55" i="4"/>
  <c r="D58" i="4"/>
  <c r="D57" i="4" s="1"/>
  <c r="E15" i="7"/>
  <c r="F10" i="27"/>
  <c r="F11" i="27"/>
  <c r="E16" i="7"/>
  <c r="E70" i="1"/>
  <c r="E66" i="1"/>
  <c r="E65" i="1" s="1"/>
  <c r="E63" i="1"/>
  <c r="E67" i="1"/>
  <c r="E89" i="4"/>
  <c r="E87" i="4"/>
  <c r="E14" i="7"/>
  <c r="F9" i="27"/>
  <c r="D137" i="4"/>
  <c r="D131" i="4"/>
  <c r="D140" i="4"/>
  <c r="D111" i="4"/>
  <c r="D114" i="4"/>
  <c r="D113" i="4" s="1"/>
  <c r="E48" i="1"/>
  <c r="E51" i="1"/>
  <c r="E47" i="1"/>
  <c r="E46" i="1" s="1"/>
  <c r="E44" i="1"/>
  <c r="E20" i="4"/>
  <c r="E22" i="4"/>
  <c r="E33" i="4"/>
  <c r="E31" i="4"/>
  <c r="E108" i="1"/>
  <c r="E112" i="1"/>
  <c r="E115" i="1"/>
  <c r="E111" i="1"/>
  <c r="E110" i="1" s="1"/>
  <c r="D120" i="4"/>
  <c r="D73" i="4"/>
  <c r="D70" i="4"/>
  <c r="D64" i="4"/>
  <c r="E42" i="1"/>
  <c r="E35" i="1"/>
  <c r="E39" i="1"/>
  <c r="E38" i="1"/>
  <c r="E37" i="1" s="1"/>
  <c r="D41" i="4"/>
  <c r="D91" i="4"/>
  <c r="D90" i="4" s="1"/>
  <c r="D88" i="4"/>
  <c r="E57" i="1"/>
  <c r="E60" i="1"/>
  <c r="E53" i="1"/>
  <c r="E56" i="1"/>
  <c r="E55" i="1" s="1"/>
  <c r="E76" i="1"/>
  <c r="E72" i="1"/>
  <c r="E75" i="1"/>
  <c r="E74" i="1" s="1"/>
  <c r="E79" i="1"/>
  <c r="H26" i="25"/>
  <c r="H25" i="25" s="1"/>
  <c r="H28" i="25" s="1"/>
  <c r="H29" i="25" s="1"/>
  <c r="D24" i="25"/>
  <c r="D23" i="25" s="1"/>
  <c r="D26" i="25" s="1"/>
  <c r="D27" i="25" s="1"/>
  <c r="D29" i="1"/>
  <c r="D28" i="1" s="1"/>
  <c r="F63" i="4"/>
  <c r="F52" i="1"/>
  <c r="F54" i="1" s="1"/>
  <c r="D133" i="4"/>
  <c r="D136" i="4"/>
  <c r="D135" i="4" s="1"/>
  <c r="E13" i="7"/>
  <c r="F8" i="27"/>
  <c r="D118" i="4"/>
  <c r="D115" i="4"/>
  <c r="D109" i="4"/>
  <c r="F29" i="4"/>
  <c r="F25" i="1"/>
  <c r="F27" i="1" s="1"/>
  <c r="D111" i="1"/>
  <c r="D110" i="1" s="1"/>
  <c r="E54" i="4"/>
  <c r="E56" i="4"/>
  <c r="E15" i="1"/>
  <c r="E12" i="1"/>
  <c r="E8" i="1"/>
  <c r="E11" i="1"/>
  <c r="E10" i="1" s="1"/>
  <c r="E17" i="7"/>
  <c r="F12" i="27"/>
  <c r="E132" i="4"/>
  <c r="E134" i="4"/>
  <c r="F15" i="27"/>
  <c r="E20" i="7"/>
  <c r="D66" i="4"/>
  <c r="D69" i="4"/>
  <c r="D68" i="4" s="1"/>
  <c r="E44" i="4"/>
  <c r="E42" i="4"/>
  <c r="E123" i="4"/>
  <c r="E121" i="4"/>
  <c r="E12" i="7"/>
  <c r="F7" i="27"/>
  <c r="D84" i="4"/>
  <c r="D75" i="4"/>
  <c r="D81" i="4"/>
  <c r="D8" i="4"/>
  <c r="F119" i="4"/>
  <c r="F98" i="1"/>
  <c r="F100" i="1" s="1"/>
  <c r="G13" i="27"/>
  <c r="F18" i="7"/>
  <c r="D103" i="4"/>
  <c r="D102" i="4" s="1"/>
  <c r="D100" i="4"/>
  <c r="E10" i="7"/>
  <c r="F5" i="27"/>
  <c r="F110" i="4"/>
  <c r="F112" i="4"/>
  <c r="D21" i="4"/>
  <c r="D24" i="4"/>
  <c r="D23" i="4" s="1"/>
  <c r="F80" i="1"/>
  <c r="F82" i="1" s="1"/>
  <c r="F97" i="4"/>
  <c r="F7" i="1"/>
  <c r="F9" i="1" s="1"/>
  <c r="F7" i="4"/>
  <c r="D62" i="4"/>
  <c r="D53" i="4"/>
  <c r="D59" i="4"/>
  <c r="F74" i="4"/>
  <c r="F62" i="1"/>
  <c r="F64" i="1" s="1"/>
  <c r="D86" i="4"/>
  <c r="D92" i="4"/>
  <c r="D95" i="4"/>
  <c r="E103" i="1"/>
  <c r="E106" i="1"/>
  <c r="E102" i="1"/>
  <c r="E101" i="1" s="1"/>
  <c r="E99" i="1"/>
  <c r="D77" i="4"/>
  <c r="D80" i="4"/>
  <c r="D79" i="4" s="1"/>
  <c r="G108" i="4"/>
  <c r="G89" i="1"/>
  <c r="G91" i="1" s="1"/>
  <c r="F16" i="1" l="1"/>
  <c r="F18" i="1" s="1"/>
  <c r="E19" i="7"/>
  <c r="G119" i="4" s="1"/>
  <c r="F52" i="4"/>
  <c r="F54" i="4" s="1"/>
  <c r="D49" i="1"/>
  <c r="D50" i="1" s="1"/>
  <c r="D19" i="4"/>
  <c r="D26" i="4" s="1"/>
  <c r="D27" i="4" s="1"/>
  <c r="D28" i="4"/>
  <c r="D125" i="4"/>
  <c r="D124" i="4" s="1"/>
  <c r="D129" i="4"/>
  <c r="D107" i="4"/>
  <c r="D122" i="4"/>
  <c r="D98" i="4"/>
  <c r="D105" i="4" s="1"/>
  <c r="D106" i="4" s="1"/>
  <c r="E9" i="4"/>
  <c r="E14" i="4" s="1"/>
  <c r="E67" i="4"/>
  <c r="E70" i="4" s="1"/>
  <c r="D37" i="4"/>
  <c r="D38" i="4" s="1"/>
  <c r="D13" i="4"/>
  <c r="D12" i="4" s="1"/>
  <c r="D14" i="4"/>
  <c r="D76" i="1"/>
  <c r="D17" i="4"/>
  <c r="D68" i="1"/>
  <c r="D69" i="1" s="1"/>
  <c r="D113" i="1"/>
  <c r="D114" i="1" s="1"/>
  <c r="D31" i="1"/>
  <c r="D32" i="1" s="1"/>
  <c r="F40" i="4"/>
  <c r="F44" i="4" s="1"/>
  <c r="F71" i="1"/>
  <c r="F73" i="1" s="1"/>
  <c r="F76" i="1" s="1"/>
  <c r="D95" i="1"/>
  <c r="D96" i="1" s="1"/>
  <c r="E95" i="1"/>
  <c r="E96" i="1" s="1"/>
  <c r="E81" i="1"/>
  <c r="E78" i="4"/>
  <c r="E84" i="4" s="1"/>
  <c r="F107" i="1"/>
  <c r="F109" i="1" s="1"/>
  <c r="F112" i="1" s="1"/>
  <c r="D46" i="4"/>
  <c r="D45" i="4" s="1"/>
  <c r="D50" i="4"/>
  <c r="D72" i="1"/>
  <c r="D43" i="4"/>
  <c r="D79" i="1"/>
  <c r="E112" i="4"/>
  <c r="E118" i="4" s="1"/>
  <c r="E84" i="1"/>
  <c r="E83" i="1" s="1"/>
  <c r="F6" i="27"/>
  <c r="G6" i="27" s="1"/>
  <c r="E85" i="1"/>
  <c r="E68" i="1"/>
  <c r="E69" i="1" s="1"/>
  <c r="D60" i="4"/>
  <c r="D61" i="4" s="1"/>
  <c r="E40" i="1"/>
  <c r="E41" i="1" s="1"/>
  <c r="G93" i="1"/>
  <c r="G92" i="1" s="1"/>
  <c r="G97" i="1"/>
  <c r="G94" i="1"/>
  <c r="G90" i="1"/>
  <c r="F15" i="1"/>
  <c r="F12" i="1"/>
  <c r="F11" i="1"/>
  <c r="F10" i="1" s="1"/>
  <c r="F8" i="1"/>
  <c r="F10" i="7"/>
  <c r="G5" i="27"/>
  <c r="G40" i="4"/>
  <c r="G34" i="1"/>
  <c r="G36" i="1" s="1"/>
  <c r="G15" i="27"/>
  <c r="F20" i="7"/>
  <c r="E75" i="4"/>
  <c r="E21" i="4"/>
  <c r="E24" i="4"/>
  <c r="E23" i="4" s="1"/>
  <c r="G63" i="4"/>
  <c r="G52" i="1"/>
  <c r="G54" i="1" s="1"/>
  <c r="E107" i="4"/>
  <c r="E104" i="4"/>
  <c r="E98" i="4"/>
  <c r="E104" i="1"/>
  <c r="E105" i="1" s="1"/>
  <c r="F17" i="7"/>
  <c r="G12" i="27"/>
  <c r="E77" i="1"/>
  <c r="E78" i="1" s="1"/>
  <c r="F134" i="4"/>
  <c r="F132" i="4"/>
  <c r="E113" i="1"/>
  <c r="E114" i="1" s="1"/>
  <c r="D138" i="4"/>
  <c r="D139" i="4" s="1"/>
  <c r="E92" i="4"/>
  <c r="E95" i="4"/>
  <c r="E86" i="4"/>
  <c r="E31" i="1"/>
  <c r="E32" i="1" s="1"/>
  <c r="F19" i="7"/>
  <c r="G14" i="27"/>
  <c r="D93" i="4"/>
  <c r="D94" i="4" s="1"/>
  <c r="F78" i="4"/>
  <c r="F76" i="4"/>
  <c r="F85" i="1"/>
  <c r="F88" i="1"/>
  <c r="F84" i="1"/>
  <c r="F83" i="1" s="1"/>
  <c r="F81" i="1"/>
  <c r="F114" i="4"/>
  <c r="F113" i="4" s="1"/>
  <c r="F111" i="4"/>
  <c r="F99" i="1"/>
  <c r="F106" i="1"/>
  <c r="F102" i="1"/>
  <c r="F101" i="1" s="1"/>
  <c r="F103" i="1"/>
  <c r="E125" i="4"/>
  <c r="E124" i="4" s="1"/>
  <c r="E122" i="4"/>
  <c r="G80" i="1"/>
  <c r="G82" i="1" s="1"/>
  <c r="G97" i="4"/>
  <c r="E55" i="4"/>
  <c r="E58" i="4"/>
  <c r="E57" i="4" s="1"/>
  <c r="F33" i="4"/>
  <c r="F31" i="4"/>
  <c r="F13" i="7"/>
  <c r="G8" i="27"/>
  <c r="F56" i="1"/>
  <c r="F55" i="1" s="1"/>
  <c r="F53" i="1"/>
  <c r="F57" i="1"/>
  <c r="F60" i="1"/>
  <c r="E58" i="1"/>
  <c r="E59" i="1" s="1"/>
  <c r="D71" i="4"/>
  <c r="D72" i="4" s="1"/>
  <c r="E39" i="4"/>
  <c r="E36" i="4"/>
  <c r="E30" i="4"/>
  <c r="F51" i="1"/>
  <c r="F44" i="1"/>
  <c r="F47" i="1"/>
  <c r="F46" i="1" s="1"/>
  <c r="F48" i="1"/>
  <c r="E91" i="4"/>
  <c r="E90" i="4" s="1"/>
  <c r="E88" i="4"/>
  <c r="F16" i="7"/>
  <c r="G11" i="27"/>
  <c r="G7" i="1"/>
  <c r="G9" i="1" s="1"/>
  <c r="G7" i="4"/>
  <c r="F21" i="1"/>
  <c r="F17" i="1"/>
  <c r="F24" i="1"/>
  <c r="F20" i="1"/>
  <c r="F19" i="1" s="1"/>
  <c r="F87" i="4"/>
  <c r="F89" i="4"/>
  <c r="H108" i="4"/>
  <c r="H89" i="1"/>
  <c r="H91" i="1" s="1"/>
  <c r="E46" i="4"/>
  <c r="E45" i="4" s="1"/>
  <c r="E43" i="4"/>
  <c r="E140" i="4"/>
  <c r="E137" i="4"/>
  <c r="E131" i="4"/>
  <c r="G74" i="4"/>
  <c r="G62" i="1"/>
  <c r="G64" i="1" s="1"/>
  <c r="G112" i="4"/>
  <c r="G110" i="4"/>
  <c r="F35" i="1"/>
  <c r="F42" i="1"/>
  <c r="F38" i="1"/>
  <c r="F37" i="1" s="1"/>
  <c r="F39" i="1"/>
  <c r="F67" i="1"/>
  <c r="F66" i="1"/>
  <c r="F65" i="1" s="1"/>
  <c r="F70" i="1"/>
  <c r="F63" i="1"/>
  <c r="F101" i="4"/>
  <c r="F99" i="4"/>
  <c r="G16" i="1"/>
  <c r="G18" i="1" s="1"/>
  <c r="G18" i="4"/>
  <c r="G18" i="7"/>
  <c r="H13" i="27"/>
  <c r="D82" i="4"/>
  <c r="D83" i="4" s="1"/>
  <c r="E129" i="4"/>
  <c r="E120" i="4"/>
  <c r="E126" i="4"/>
  <c r="F26" i="1"/>
  <c r="F33" i="1"/>
  <c r="F30" i="1"/>
  <c r="F29" i="1"/>
  <c r="F28" i="1" s="1"/>
  <c r="E25" i="4"/>
  <c r="E19" i="4"/>
  <c r="E28" i="4"/>
  <c r="G85" i="4"/>
  <c r="G71" i="1"/>
  <c r="G73" i="1" s="1"/>
  <c r="F9" i="7"/>
  <c r="G4" i="27"/>
  <c r="F22" i="4"/>
  <c r="F20" i="4"/>
  <c r="F9" i="4"/>
  <c r="F11" i="4"/>
  <c r="F115" i="4"/>
  <c r="F109" i="4"/>
  <c r="F118" i="4"/>
  <c r="F123" i="4"/>
  <c r="F121" i="4"/>
  <c r="F12" i="7"/>
  <c r="G7" i="27"/>
  <c r="E50" i="4"/>
  <c r="E47" i="4"/>
  <c r="E41" i="4"/>
  <c r="G130" i="4"/>
  <c r="G107" i="1"/>
  <c r="G109" i="1" s="1"/>
  <c r="E133" i="4"/>
  <c r="E136" i="4"/>
  <c r="E135" i="4" s="1"/>
  <c r="E13" i="1"/>
  <c r="E14" i="1" s="1"/>
  <c r="E59" i="4"/>
  <c r="E62" i="4"/>
  <c r="E53" i="4"/>
  <c r="D116" i="4"/>
  <c r="D117" i="4" s="1"/>
  <c r="G43" i="1"/>
  <c r="G45" i="1" s="1"/>
  <c r="G52" i="4"/>
  <c r="F65" i="4"/>
  <c r="F67" i="4"/>
  <c r="E35" i="4"/>
  <c r="E34" i="4" s="1"/>
  <c r="E32" i="4"/>
  <c r="E49" i="1"/>
  <c r="E50" i="1" s="1"/>
  <c r="E10" i="4"/>
  <c r="E13" i="4"/>
  <c r="E12" i="4" s="1"/>
  <c r="G25" i="1"/>
  <c r="G27" i="1" s="1"/>
  <c r="G29" i="4"/>
  <c r="F56" i="4"/>
  <c r="F14" i="7"/>
  <c r="G9" i="27"/>
  <c r="E64" i="4"/>
  <c r="F15" i="7"/>
  <c r="G10" i="27"/>
  <c r="E100" i="4"/>
  <c r="E103" i="4"/>
  <c r="E102" i="4" s="1"/>
  <c r="E22" i="1"/>
  <c r="E23" i="1" s="1"/>
  <c r="F95" i="1"/>
  <c r="F96" i="1" s="1"/>
  <c r="G98" i="1" l="1"/>
  <c r="G100" i="1" s="1"/>
  <c r="G102" i="1" s="1"/>
  <c r="G101" i="1" s="1"/>
  <c r="D15" i="4"/>
  <c r="D16" i="4" s="1"/>
  <c r="D127" i="4"/>
  <c r="D128" i="4" s="1"/>
  <c r="E17" i="4"/>
  <c r="E81" i="4"/>
  <c r="E8" i="4"/>
  <c r="E15" i="4" s="1"/>
  <c r="E16" i="4" s="1"/>
  <c r="E73" i="4"/>
  <c r="E69" i="4"/>
  <c r="E68" i="4" s="1"/>
  <c r="E66" i="4"/>
  <c r="D77" i="1"/>
  <c r="D78" i="1" s="1"/>
  <c r="F42" i="4"/>
  <c r="F50" i="4" s="1"/>
  <c r="F72" i="1"/>
  <c r="F75" i="1"/>
  <c r="F74" i="1" s="1"/>
  <c r="E80" i="4"/>
  <c r="E79" i="4" s="1"/>
  <c r="F79" i="1"/>
  <c r="E77" i="4"/>
  <c r="F115" i="1"/>
  <c r="F108" i="1"/>
  <c r="F111" i="1"/>
  <c r="F110" i="1" s="1"/>
  <c r="D48" i="4"/>
  <c r="D49" i="4" s="1"/>
  <c r="F11" i="7"/>
  <c r="H29" i="4" s="1"/>
  <c r="E115" i="4"/>
  <c r="E114" i="4"/>
  <c r="E113" i="4" s="1"/>
  <c r="E111" i="4"/>
  <c r="E86" i="1"/>
  <c r="E87" i="1" s="1"/>
  <c r="E127" i="4"/>
  <c r="E128" i="4" s="1"/>
  <c r="G95" i="1"/>
  <c r="G96" i="1" s="1"/>
  <c r="F31" i="1"/>
  <c r="F32" i="1" s="1"/>
  <c r="F68" i="1"/>
  <c r="F69" i="1" s="1"/>
  <c r="F49" i="1"/>
  <c r="F50" i="1" s="1"/>
  <c r="F59" i="4"/>
  <c r="F62" i="4"/>
  <c r="F53" i="4"/>
  <c r="G132" i="4"/>
  <c r="G134" i="4"/>
  <c r="H74" i="4"/>
  <c r="H62" i="1"/>
  <c r="H64" i="1" s="1"/>
  <c r="G14" i="7"/>
  <c r="H9" i="27"/>
  <c r="G31" i="4"/>
  <c r="G33" i="4"/>
  <c r="G56" i="4"/>
  <c r="G54" i="4"/>
  <c r="F129" i="4"/>
  <c r="F120" i="4"/>
  <c r="F126" i="4"/>
  <c r="G106" i="1"/>
  <c r="G103" i="1"/>
  <c r="G99" i="1"/>
  <c r="G9" i="7"/>
  <c r="H4" i="27"/>
  <c r="I89" i="1"/>
  <c r="I91" i="1" s="1"/>
  <c r="I108" i="4"/>
  <c r="F103" i="4"/>
  <c r="F102" i="4" s="1"/>
  <c r="F100" i="4"/>
  <c r="G67" i="1"/>
  <c r="G63" i="1"/>
  <c r="G66" i="1"/>
  <c r="G65" i="1" s="1"/>
  <c r="G70" i="1"/>
  <c r="F91" i="4"/>
  <c r="F90" i="4" s="1"/>
  <c r="F88" i="4"/>
  <c r="F22" i="1"/>
  <c r="F23" i="1" s="1"/>
  <c r="H11" i="27"/>
  <c r="G16" i="7"/>
  <c r="G11" i="7"/>
  <c r="H6" i="27"/>
  <c r="H52" i="4"/>
  <c r="H43" i="1"/>
  <c r="H45" i="1" s="1"/>
  <c r="F104" i="1"/>
  <c r="F105" i="1" s="1"/>
  <c r="F77" i="4"/>
  <c r="F80" i="4"/>
  <c r="F79" i="4" s="1"/>
  <c r="H14" i="27"/>
  <c r="G19" i="7"/>
  <c r="E105" i="4"/>
  <c r="E106" i="4" s="1"/>
  <c r="G44" i="4"/>
  <c r="G42" i="4"/>
  <c r="F13" i="1"/>
  <c r="F14" i="1" s="1"/>
  <c r="H52" i="1"/>
  <c r="H54" i="1" s="1"/>
  <c r="H63" i="4"/>
  <c r="G30" i="1"/>
  <c r="G33" i="1"/>
  <c r="G29" i="1"/>
  <c r="G28" i="1" s="1"/>
  <c r="G26" i="1"/>
  <c r="G51" i="1"/>
  <c r="G48" i="1"/>
  <c r="G47" i="1"/>
  <c r="G46" i="1" s="1"/>
  <c r="G44" i="1"/>
  <c r="G115" i="1"/>
  <c r="G111" i="1"/>
  <c r="G110" i="1" s="1"/>
  <c r="G112" i="1"/>
  <c r="G108" i="1"/>
  <c r="F125" i="4"/>
  <c r="F124" i="4" s="1"/>
  <c r="F122" i="4"/>
  <c r="F10" i="4"/>
  <c r="F13" i="4"/>
  <c r="F12" i="4" s="1"/>
  <c r="G121" i="4"/>
  <c r="G123" i="4"/>
  <c r="H7" i="4"/>
  <c r="H7" i="1"/>
  <c r="H9" i="1" s="1"/>
  <c r="E26" i="4"/>
  <c r="E27" i="4" s="1"/>
  <c r="G20" i="4"/>
  <c r="G22" i="4"/>
  <c r="F40" i="1"/>
  <c r="F41" i="1" s="1"/>
  <c r="G76" i="4"/>
  <c r="G78" i="4"/>
  <c r="E138" i="4"/>
  <c r="E139" i="4" s="1"/>
  <c r="F92" i="4"/>
  <c r="F95" i="4"/>
  <c r="F86" i="4"/>
  <c r="H85" i="4"/>
  <c r="H71" i="1"/>
  <c r="H73" i="1" s="1"/>
  <c r="F58" i="1"/>
  <c r="F59" i="1" s="1"/>
  <c r="F39" i="4"/>
  <c r="F30" i="4"/>
  <c r="F36" i="4"/>
  <c r="G101" i="4"/>
  <c r="G99" i="4"/>
  <c r="H98" i="1"/>
  <c r="H100" i="1" s="1"/>
  <c r="H119" i="4"/>
  <c r="F131" i="4"/>
  <c r="F137" i="4"/>
  <c r="F140" i="4"/>
  <c r="H12" i="27"/>
  <c r="G17" i="7"/>
  <c r="G57" i="1"/>
  <c r="G53" i="1"/>
  <c r="G56" i="1"/>
  <c r="G55" i="1" s="1"/>
  <c r="G60" i="1"/>
  <c r="H130" i="4"/>
  <c r="H107" i="1"/>
  <c r="H109" i="1" s="1"/>
  <c r="F69" i="4"/>
  <c r="F68" i="4" s="1"/>
  <c r="F66" i="4"/>
  <c r="G12" i="7"/>
  <c r="H7" i="27"/>
  <c r="F8" i="4"/>
  <c r="F14" i="4"/>
  <c r="F17" i="4"/>
  <c r="F28" i="4"/>
  <c r="F19" i="4"/>
  <c r="F25" i="4"/>
  <c r="G75" i="1"/>
  <c r="G74" i="1" s="1"/>
  <c r="G79" i="1"/>
  <c r="G76" i="1"/>
  <c r="G72" i="1"/>
  <c r="G17" i="1"/>
  <c r="G24" i="1"/>
  <c r="G20" i="1"/>
  <c r="G19" i="1" s="1"/>
  <c r="G21" i="1"/>
  <c r="G109" i="4"/>
  <c r="G115" i="4"/>
  <c r="G118" i="4"/>
  <c r="H93" i="1"/>
  <c r="H92" i="1" s="1"/>
  <c r="H90" i="1"/>
  <c r="H97" i="1"/>
  <c r="H94" i="1"/>
  <c r="G9" i="4"/>
  <c r="G11" i="4"/>
  <c r="E37" i="4"/>
  <c r="E38" i="4" s="1"/>
  <c r="F32" i="4"/>
  <c r="F35" i="4"/>
  <c r="F34" i="4" s="1"/>
  <c r="G81" i="1"/>
  <c r="G85" i="1"/>
  <c r="G84" i="1"/>
  <c r="G83" i="1" s="1"/>
  <c r="G88" i="1"/>
  <c r="F133" i="4"/>
  <c r="F136" i="4"/>
  <c r="F135" i="4" s="1"/>
  <c r="H80" i="1"/>
  <c r="H82" i="1" s="1"/>
  <c r="H97" i="4"/>
  <c r="G67" i="4"/>
  <c r="G65" i="4"/>
  <c r="H15" i="27"/>
  <c r="G20" i="7"/>
  <c r="H5" i="27"/>
  <c r="G10" i="7"/>
  <c r="G15" i="7"/>
  <c r="H10" i="27"/>
  <c r="F58" i="4"/>
  <c r="F57" i="4" s="1"/>
  <c r="F55" i="4"/>
  <c r="F73" i="4"/>
  <c r="F64" i="4"/>
  <c r="F70" i="4"/>
  <c r="E60" i="4"/>
  <c r="E61" i="4" s="1"/>
  <c r="E48" i="4"/>
  <c r="E49" i="4" s="1"/>
  <c r="H40" i="4"/>
  <c r="H34" i="1"/>
  <c r="H36" i="1" s="1"/>
  <c r="F116" i="4"/>
  <c r="F117" i="4" s="1"/>
  <c r="F24" i="4"/>
  <c r="F23" i="4" s="1"/>
  <c r="F21" i="4"/>
  <c r="G87" i="4"/>
  <c r="G89" i="4"/>
  <c r="H18" i="7"/>
  <c r="I13" i="27"/>
  <c r="F107" i="4"/>
  <c r="F104" i="4"/>
  <c r="F98" i="4"/>
  <c r="G114" i="4"/>
  <c r="G113" i="4" s="1"/>
  <c r="G111" i="4"/>
  <c r="H112" i="4"/>
  <c r="H110" i="4"/>
  <c r="G11" i="1"/>
  <c r="G10" i="1" s="1"/>
  <c r="G15" i="1"/>
  <c r="G12" i="1"/>
  <c r="G8" i="1"/>
  <c r="H8" i="27"/>
  <c r="G13" i="7"/>
  <c r="F86" i="1"/>
  <c r="F87" i="1" s="1"/>
  <c r="F75" i="4"/>
  <c r="F84" i="4"/>
  <c r="F81" i="4"/>
  <c r="F43" i="4"/>
  <c r="F46" i="4"/>
  <c r="F45" i="4" s="1"/>
  <c r="E93" i="4"/>
  <c r="E94" i="4" s="1"/>
  <c r="G38" i="1"/>
  <c r="G37" i="1" s="1"/>
  <c r="G42" i="1"/>
  <c r="G39" i="1"/>
  <c r="G35" i="1"/>
  <c r="H18" i="4"/>
  <c r="H16" i="1"/>
  <c r="H18" i="1" s="1"/>
  <c r="F47" i="4" l="1"/>
  <c r="E71" i="4"/>
  <c r="E72" i="4" s="1"/>
  <c r="F41" i="4"/>
  <c r="E82" i="4"/>
  <c r="E83" i="4" s="1"/>
  <c r="F77" i="1"/>
  <c r="F78" i="1" s="1"/>
  <c r="F113" i="1"/>
  <c r="F114" i="1" s="1"/>
  <c r="H25" i="1"/>
  <c r="H27" i="1" s="1"/>
  <c r="H30" i="1" s="1"/>
  <c r="E116" i="4"/>
  <c r="E117" i="4" s="1"/>
  <c r="G31" i="1"/>
  <c r="G32" i="1" s="1"/>
  <c r="F82" i="4"/>
  <c r="F83" i="4" s="1"/>
  <c r="G86" i="1"/>
  <c r="G87" i="1" s="1"/>
  <c r="H95" i="1"/>
  <c r="H96" i="1" s="1"/>
  <c r="G22" i="1"/>
  <c r="G23" i="1" s="1"/>
  <c r="G113" i="1"/>
  <c r="G114" i="1" s="1"/>
  <c r="G49" i="1"/>
  <c r="G50" i="1" s="1"/>
  <c r="G40" i="1"/>
  <c r="G41" i="1" s="1"/>
  <c r="F105" i="4"/>
  <c r="F106" i="4" s="1"/>
  <c r="F71" i="4"/>
  <c r="F72" i="4" s="1"/>
  <c r="F15" i="4"/>
  <c r="F16" i="4" s="1"/>
  <c r="G68" i="1"/>
  <c r="G69" i="1" s="1"/>
  <c r="G104" i="1"/>
  <c r="G105" i="1" s="1"/>
  <c r="I52" i="4"/>
  <c r="I43" i="1"/>
  <c r="I45" i="1" s="1"/>
  <c r="H114" i="4"/>
  <c r="H113" i="4" s="1"/>
  <c r="H111" i="4"/>
  <c r="J89" i="1"/>
  <c r="J91" i="1" s="1"/>
  <c r="J108" i="4"/>
  <c r="H42" i="4"/>
  <c r="H44" i="4"/>
  <c r="I10" i="27"/>
  <c r="H15" i="7"/>
  <c r="I107" i="1"/>
  <c r="I109" i="1" s="1"/>
  <c r="I130" i="4"/>
  <c r="H99" i="4"/>
  <c r="H101" i="4"/>
  <c r="F26" i="4"/>
  <c r="F27" i="4" s="1"/>
  <c r="H17" i="7"/>
  <c r="I12" i="27"/>
  <c r="H123" i="4"/>
  <c r="H121" i="4"/>
  <c r="F93" i="4"/>
  <c r="F94" i="4" s="1"/>
  <c r="G80" i="4"/>
  <c r="G79" i="4" s="1"/>
  <c r="G77" i="4"/>
  <c r="G25" i="4"/>
  <c r="G19" i="4"/>
  <c r="G28" i="4"/>
  <c r="G125" i="4"/>
  <c r="G124" i="4" s="1"/>
  <c r="G122" i="4"/>
  <c r="I98" i="1"/>
  <c r="I100" i="1" s="1"/>
  <c r="I119" i="4"/>
  <c r="I29" i="4"/>
  <c r="I25" i="1"/>
  <c r="I27" i="1" s="1"/>
  <c r="I110" i="4"/>
  <c r="I112" i="4"/>
  <c r="G55" i="4"/>
  <c r="G58" i="4"/>
  <c r="G57" i="4" s="1"/>
  <c r="I52" i="1"/>
  <c r="I54" i="1" s="1"/>
  <c r="I63" i="4"/>
  <c r="G137" i="4"/>
  <c r="G140" i="4"/>
  <c r="G131" i="4"/>
  <c r="H13" i="7"/>
  <c r="I8" i="27"/>
  <c r="G91" i="4"/>
  <c r="G90" i="4" s="1"/>
  <c r="G88" i="4"/>
  <c r="I74" i="4"/>
  <c r="I62" i="1"/>
  <c r="I64" i="1" s="1"/>
  <c r="I15" i="27"/>
  <c r="H20" i="7"/>
  <c r="H81" i="1"/>
  <c r="H84" i="1"/>
  <c r="H83" i="1" s="1"/>
  <c r="H85" i="1"/>
  <c r="H88" i="1"/>
  <c r="H12" i="7"/>
  <c r="I7" i="27"/>
  <c r="H115" i="1"/>
  <c r="H108" i="1"/>
  <c r="H111" i="1"/>
  <c r="H110" i="1" s="1"/>
  <c r="H112" i="1"/>
  <c r="G58" i="1"/>
  <c r="G59" i="1" s="1"/>
  <c r="H103" i="1"/>
  <c r="H102" i="1"/>
  <c r="H101" i="1" s="1"/>
  <c r="H106" i="1"/>
  <c r="H99" i="1"/>
  <c r="F37" i="4"/>
  <c r="F38" i="4" s="1"/>
  <c r="H33" i="4"/>
  <c r="H31" i="4"/>
  <c r="G84" i="4"/>
  <c r="G75" i="4"/>
  <c r="G81" i="4"/>
  <c r="G120" i="4"/>
  <c r="G129" i="4"/>
  <c r="G126" i="4"/>
  <c r="G41" i="4"/>
  <c r="G47" i="4"/>
  <c r="G50" i="4"/>
  <c r="I14" i="27"/>
  <c r="H19" i="7"/>
  <c r="H44" i="1"/>
  <c r="H48" i="1"/>
  <c r="H51" i="1"/>
  <c r="H47" i="1"/>
  <c r="H46" i="1" s="1"/>
  <c r="I85" i="4"/>
  <c r="I71" i="1"/>
  <c r="I73" i="1" s="1"/>
  <c r="I90" i="1"/>
  <c r="I97" i="1"/>
  <c r="I94" i="1"/>
  <c r="I93" i="1"/>
  <c r="I92" i="1" s="1"/>
  <c r="F127" i="4"/>
  <c r="F128" i="4" s="1"/>
  <c r="G32" i="4"/>
  <c r="G35" i="4"/>
  <c r="G34" i="4" s="1"/>
  <c r="H66" i="1"/>
  <c r="H65" i="1" s="1"/>
  <c r="H70" i="1"/>
  <c r="H63" i="1"/>
  <c r="H67" i="1"/>
  <c r="F60" i="4"/>
  <c r="F61" i="4" s="1"/>
  <c r="H24" i="1"/>
  <c r="H21" i="1"/>
  <c r="H20" i="1"/>
  <c r="H19" i="1" s="1"/>
  <c r="H17" i="1"/>
  <c r="G86" i="4"/>
  <c r="G95" i="4"/>
  <c r="G92" i="4"/>
  <c r="I18" i="4"/>
  <c r="I16" i="1"/>
  <c r="I18" i="1" s="1"/>
  <c r="G64" i="4"/>
  <c r="G70" i="4"/>
  <c r="G73" i="4"/>
  <c r="G13" i="4"/>
  <c r="G12" i="4" s="1"/>
  <c r="G10" i="4"/>
  <c r="G116" i="4"/>
  <c r="G117" i="4" s="1"/>
  <c r="I40" i="4"/>
  <c r="I34" i="1"/>
  <c r="I36" i="1" s="1"/>
  <c r="H132" i="4"/>
  <c r="H134" i="4"/>
  <c r="G98" i="4"/>
  <c r="G107" i="4"/>
  <c r="G104" i="4"/>
  <c r="H76" i="1"/>
  <c r="H72" i="1"/>
  <c r="H75" i="1"/>
  <c r="H74" i="1" s="1"/>
  <c r="H79" i="1"/>
  <c r="H12" i="1"/>
  <c r="H8" i="1"/>
  <c r="H15" i="1"/>
  <c r="H11" i="1"/>
  <c r="H10" i="1" s="1"/>
  <c r="H65" i="4"/>
  <c r="H67" i="4"/>
  <c r="G43" i="4"/>
  <c r="G46" i="4"/>
  <c r="G45" i="4" s="1"/>
  <c r="H54" i="4"/>
  <c r="H56" i="4"/>
  <c r="H16" i="7"/>
  <c r="I11" i="27"/>
  <c r="H9" i="7"/>
  <c r="I4" i="27"/>
  <c r="G36" i="4"/>
  <c r="G30" i="4"/>
  <c r="G39" i="4"/>
  <c r="H76" i="4"/>
  <c r="H78" i="4"/>
  <c r="H22" i="4"/>
  <c r="H20" i="4"/>
  <c r="G13" i="1"/>
  <c r="G14" i="1" s="1"/>
  <c r="H109" i="4"/>
  <c r="H115" i="4"/>
  <c r="H118" i="4"/>
  <c r="I18" i="7"/>
  <c r="J13" i="27"/>
  <c r="H39" i="1"/>
  <c r="H35" i="1"/>
  <c r="H42" i="1"/>
  <c r="H38" i="1"/>
  <c r="H37" i="1" s="1"/>
  <c r="I5" i="27"/>
  <c r="H10" i="7"/>
  <c r="G66" i="4"/>
  <c r="G69" i="4"/>
  <c r="G68" i="4" s="1"/>
  <c r="G17" i="4"/>
  <c r="G14" i="4"/>
  <c r="G8" i="4"/>
  <c r="G77" i="1"/>
  <c r="G78" i="1" s="1"/>
  <c r="I80" i="1"/>
  <c r="I82" i="1" s="1"/>
  <c r="I97" i="4"/>
  <c r="F138" i="4"/>
  <c r="F139" i="4" s="1"/>
  <c r="G103" i="4"/>
  <c r="G102" i="4" s="1"/>
  <c r="G100" i="4"/>
  <c r="H87" i="4"/>
  <c r="H89" i="4"/>
  <c r="G24" i="4"/>
  <c r="G23" i="4" s="1"/>
  <c r="G21" i="4"/>
  <c r="H9" i="4"/>
  <c r="H11" i="4"/>
  <c r="H60" i="1"/>
  <c r="H56" i="1"/>
  <c r="H55" i="1" s="1"/>
  <c r="H57" i="1"/>
  <c r="H53" i="1"/>
  <c r="I6" i="27"/>
  <c r="H11" i="7"/>
  <c r="I7" i="4"/>
  <c r="I7" i="1"/>
  <c r="I9" i="1" s="1"/>
  <c r="G59" i="4"/>
  <c r="G53" i="4"/>
  <c r="G62" i="4"/>
  <c r="I9" i="27"/>
  <c r="H14" i="7"/>
  <c r="G133" i="4"/>
  <c r="G136" i="4"/>
  <c r="G135" i="4" s="1"/>
  <c r="F48" i="4" l="1"/>
  <c r="F49" i="4" s="1"/>
  <c r="H29" i="1"/>
  <c r="H28" i="1" s="1"/>
  <c r="H26" i="1"/>
  <c r="H33" i="1"/>
  <c r="H40" i="1"/>
  <c r="H41" i="1" s="1"/>
  <c r="H49" i="1"/>
  <c r="H50" i="1" s="1"/>
  <c r="G127" i="4"/>
  <c r="G128" i="4" s="1"/>
  <c r="H86" i="4"/>
  <c r="H92" i="4"/>
  <c r="H95" i="4"/>
  <c r="I99" i="4"/>
  <c r="I101" i="4"/>
  <c r="J18" i="4"/>
  <c r="J16" i="1"/>
  <c r="J18" i="1" s="1"/>
  <c r="H53" i="4"/>
  <c r="H62" i="4"/>
  <c r="H59" i="4"/>
  <c r="I33" i="1"/>
  <c r="I30" i="1"/>
  <c r="I29" i="1"/>
  <c r="I28" i="1" s="1"/>
  <c r="I26" i="1"/>
  <c r="H129" i="4"/>
  <c r="H126" i="4"/>
  <c r="H120" i="4"/>
  <c r="I111" i="1"/>
  <c r="I110" i="1" s="1"/>
  <c r="I108" i="1"/>
  <c r="I115" i="1"/>
  <c r="I112" i="1"/>
  <c r="H47" i="4"/>
  <c r="H41" i="4"/>
  <c r="H50" i="4"/>
  <c r="J5" i="27"/>
  <c r="I10" i="7"/>
  <c r="H24" i="4"/>
  <c r="H23" i="4" s="1"/>
  <c r="H21" i="4"/>
  <c r="I16" i="7"/>
  <c r="J11" i="27"/>
  <c r="H140" i="4"/>
  <c r="H131" i="4"/>
  <c r="H137" i="4"/>
  <c r="H68" i="1"/>
  <c r="H69" i="1" s="1"/>
  <c r="J119" i="4"/>
  <c r="J98" i="1"/>
  <c r="J100" i="1" s="1"/>
  <c r="G48" i="4"/>
  <c r="G49" i="4" s="1"/>
  <c r="H35" i="4"/>
  <c r="H34" i="4" s="1"/>
  <c r="H32" i="4"/>
  <c r="J34" i="1"/>
  <c r="J36" i="1" s="1"/>
  <c r="J40" i="4"/>
  <c r="I67" i="1"/>
  <c r="I63" i="1"/>
  <c r="I66" i="1"/>
  <c r="I65" i="1" s="1"/>
  <c r="I70" i="1"/>
  <c r="I33" i="4"/>
  <c r="I31" i="4"/>
  <c r="H103" i="4"/>
  <c r="H102" i="4" s="1"/>
  <c r="H100" i="4"/>
  <c r="I47" i="1"/>
  <c r="I46" i="1" s="1"/>
  <c r="I48" i="1"/>
  <c r="I44" i="1"/>
  <c r="I51" i="1"/>
  <c r="J52" i="1"/>
  <c r="J54" i="1" s="1"/>
  <c r="J63" i="4"/>
  <c r="I11" i="7"/>
  <c r="J6" i="27"/>
  <c r="I14" i="7"/>
  <c r="J9" i="27"/>
  <c r="I12" i="1"/>
  <c r="I8" i="1"/>
  <c r="I11" i="1"/>
  <c r="I10" i="1" s="1"/>
  <c r="I15" i="1"/>
  <c r="H58" i="1"/>
  <c r="H59" i="1" s="1"/>
  <c r="H10" i="4"/>
  <c r="H13" i="4"/>
  <c r="H12" i="4" s="1"/>
  <c r="H91" i="4"/>
  <c r="H90" i="4" s="1"/>
  <c r="H88" i="4"/>
  <c r="G15" i="4"/>
  <c r="G16" i="4" s="1"/>
  <c r="K108" i="4"/>
  <c r="K89" i="1"/>
  <c r="K91" i="1" s="1"/>
  <c r="H75" i="4"/>
  <c r="H81" i="4"/>
  <c r="H84" i="4"/>
  <c r="I9" i="7"/>
  <c r="J4" i="27"/>
  <c r="H55" i="4"/>
  <c r="H58" i="4"/>
  <c r="H57" i="4" s="1"/>
  <c r="H69" i="4"/>
  <c r="H68" i="4" s="1"/>
  <c r="H66" i="4"/>
  <c r="H13" i="1"/>
  <c r="H14" i="1" s="1"/>
  <c r="H77" i="1"/>
  <c r="H78" i="1" s="1"/>
  <c r="G105" i="4"/>
  <c r="G106" i="4" s="1"/>
  <c r="I42" i="4"/>
  <c r="I44" i="4"/>
  <c r="I20" i="4"/>
  <c r="I22" i="4"/>
  <c r="H22" i="1"/>
  <c r="H23" i="1" s="1"/>
  <c r="I75" i="1"/>
  <c r="I74" i="1" s="1"/>
  <c r="I72" i="1"/>
  <c r="I76" i="1"/>
  <c r="I79" i="1"/>
  <c r="H104" i="1"/>
  <c r="H105" i="1" s="1"/>
  <c r="J130" i="4"/>
  <c r="J107" i="1"/>
  <c r="J109" i="1" s="1"/>
  <c r="G138" i="4"/>
  <c r="G139" i="4" s="1"/>
  <c r="I56" i="1"/>
  <c r="I55" i="1" s="1"/>
  <c r="I60" i="1"/>
  <c r="I53" i="1"/>
  <c r="I57" i="1"/>
  <c r="I118" i="4"/>
  <c r="I115" i="4"/>
  <c r="I109" i="4"/>
  <c r="I102" i="1"/>
  <c r="I101" i="1" s="1"/>
  <c r="I106" i="1"/>
  <c r="I103" i="1"/>
  <c r="I99" i="1"/>
  <c r="G26" i="4"/>
  <c r="G27" i="4" s="1"/>
  <c r="J97" i="4"/>
  <c r="J80" i="1"/>
  <c r="J82" i="1" s="1"/>
  <c r="I132" i="4"/>
  <c r="I134" i="4"/>
  <c r="H46" i="4"/>
  <c r="H45" i="4" s="1"/>
  <c r="H43" i="4"/>
  <c r="I9" i="4"/>
  <c r="I11" i="4"/>
  <c r="H17" i="4"/>
  <c r="H8" i="4"/>
  <c r="H14" i="4"/>
  <c r="H25" i="4"/>
  <c r="H19" i="4"/>
  <c r="H28" i="4"/>
  <c r="J7" i="4"/>
  <c r="J7" i="1"/>
  <c r="J9" i="1" s="1"/>
  <c r="H73" i="4"/>
  <c r="H64" i="4"/>
  <c r="H70" i="4"/>
  <c r="H136" i="4"/>
  <c r="H135" i="4" s="1"/>
  <c r="H133" i="4"/>
  <c r="I87" i="4"/>
  <c r="I89" i="4"/>
  <c r="H30" i="4"/>
  <c r="H36" i="4"/>
  <c r="H39" i="4"/>
  <c r="J7" i="27"/>
  <c r="I12" i="7"/>
  <c r="I20" i="7"/>
  <c r="J15" i="27"/>
  <c r="G60" i="4"/>
  <c r="G61" i="4" s="1"/>
  <c r="J29" i="4"/>
  <c r="J25" i="1"/>
  <c r="J27" i="1" s="1"/>
  <c r="I81" i="1"/>
  <c r="I84" i="1"/>
  <c r="I83" i="1" s="1"/>
  <c r="I88" i="1"/>
  <c r="I85" i="1"/>
  <c r="G37" i="4"/>
  <c r="G38" i="4" s="1"/>
  <c r="G71" i="4"/>
  <c r="G72" i="4" s="1"/>
  <c r="I13" i="7"/>
  <c r="J8" i="27"/>
  <c r="H122" i="4"/>
  <c r="H125" i="4"/>
  <c r="H124" i="4" s="1"/>
  <c r="J74" i="4"/>
  <c r="J62" i="1"/>
  <c r="J64" i="1" s="1"/>
  <c r="J112" i="4"/>
  <c r="J110" i="4"/>
  <c r="K13" i="27"/>
  <c r="K18" i="7" s="1"/>
  <c r="J18" i="7"/>
  <c r="H116" i="4"/>
  <c r="H117" i="4" s="1"/>
  <c r="H77" i="4"/>
  <c r="H80" i="4"/>
  <c r="H79" i="4" s="1"/>
  <c r="J85" i="4"/>
  <c r="J71" i="1"/>
  <c r="J73" i="1" s="1"/>
  <c r="I42" i="1"/>
  <c r="I39" i="1"/>
  <c r="I35" i="1"/>
  <c r="I38" i="1"/>
  <c r="I37" i="1" s="1"/>
  <c r="I17" i="1"/>
  <c r="I21" i="1"/>
  <c r="I20" i="1"/>
  <c r="I19" i="1" s="1"/>
  <c r="I24" i="1"/>
  <c r="G93" i="4"/>
  <c r="G94" i="4" s="1"/>
  <c r="I95" i="1"/>
  <c r="I96" i="1" s="1"/>
  <c r="I19" i="7"/>
  <c r="J14" i="27"/>
  <c r="G82" i="4"/>
  <c r="G83" i="4" s="1"/>
  <c r="H113" i="1"/>
  <c r="H114" i="1" s="1"/>
  <c r="H86" i="1"/>
  <c r="H87" i="1" s="1"/>
  <c r="I76" i="4"/>
  <c r="I78" i="4"/>
  <c r="J43" i="1"/>
  <c r="J45" i="1" s="1"/>
  <c r="J52" i="4"/>
  <c r="I67" i="4"/>
  <c r="I65" i="4"/>
  <c r="I114" i="4"/>
  <c r="I113" i="4" s="1"/>
  <c r="I111" i="4"/>
  <c r="I123" i="4"/>
  <c r="I121" i="4"/>
  <c r="J12" i="27"/>
  <c r="I17" i="7"/>
  <c r="H98" i="4"/>
  <c r="H104" i="4"/>
  <c r="H107" i="4"/>
  <c r="J10" i="27"/>
  <c r="I15" i="7"/>
  <c r="J90" i="1"/>
  <c r="J93" i="1"/>
  <c r="J92" i="1" s="1"/>
  <c r="J94" i="1"/>
  <c r="J97" i="1"/>
  <c r="I54" i="4"/>
  <c r="I56" i="4"/>
  <c r="H31" i="1" l="1"/>
  <c r="H32" i="1" s="1"/>
  <c r="H37" i="4"/>
  <c r="H38" i="4" s="1"/>
  <c r="I86" i="1"/>
  <c r="I87" i="1" s="1"/>
  <c r="H71" i="4"/>
  <c r="H72" i="4" s="1"/>
  <c r="H15" i="4"/>
  <c r="H16" i="4" s="1"/>
  <c r="I77" i="1"/>
  <c r="I78" i="1" s="1"/>
  <c r="I31" i="1"/>
  <c r="I32" i="1" s="1"/>
  <c r="K97" i="4"/>
  <c r="K80" i="1"/>
  <c r="K82" i="1" s="1"/>
  <c r="I125" i="4"/>
  <c r="I124" i="4" s="1"/>
  <c r="I122" i="4"/>
  <c r="I84" i="4"/>
  <c r="I75" i="4"/>
  <c r="I81" i="4"/>
  <c r="J19" i="7"/>
  <c r="K14" i="27"/>
  <c r="K19" i="7" s="1"/>
  <c r="J76" i="1"/>
  <c r="J79" i="1"/>
  <c r="J75" i="1"/>
  <c r="J74" i="1" s="1"/>
  <c r="J72" i="1"/>
  <c r="J111" i="4"/>
  <c r="J114" i="4"/>
  <c r="J113" i="4" s="1"/>
  <c r="I62" i="4"/>
  <c r="I59" i="4"/>
  <c r="I53" i="4"/>
  <c r="J95" i="1"/>
  <c r="J96" i="1" s="1"/>
  <c r="J51" i="1"/>
  <c r="J44" i="1"/>
  <c r="J47" i="1"/>
  <c r="J46" i="1" s="1"/>
  <c r="J48" i="1"/>
  <c r="M89" i="1"/>
  <c r="M91" i="1" s="1"/>
  <c r="M108" i="4"/>
  <c r="J78" i="4"/>
  <c r="J76" i="4"/>
  <c r="K43" i="1"/>
  <c r="K45" i="1" s="1"/>
  <c r="K52" i="4"/>
  <c r="J33" i="4"/>
  <c r="J31" i="4"/>
  <c r="K40" i="4"/>
  <c r="K34" i="1"/>
  <c r="K36" i="1" s="1"/>
  <c r="J15" i="1"/>
  <c r="J12" i="1"/>
  <c r="J11" i="1"/>
  <c r="J10" i="1" s="1"/>
  <c r="J8" i="1"/>
  <c r="I13" i="4"/>
  <c r="I12" i="4" s="1"/>
  <c r="I10" i="4"/>
  <c r="I136" i="4"/>
  <c r="I135" i="4" s="1"/>
  <c r="I133" i="4"/>
  <c r="I47" i="4"/>
  <c r="I41" i="4"/>
  <c r="I50" i="4"/>
  <c r="K4" i="27"/>
  <c r="K9" i="7" s="1"/>
  <c r="J9" i="7"/>
  <c r="H82" i="4"/>
  <c r="H83" i="4" s="1"/>
  <c r="K25" i="1"/>
  <c r="K27" i="1" s="1"/>
  <c r="K29" i="4"/>
  <c r="I49" i="1"/>
  <c r="I50" i="1" s="1"/>
  <c r="J35" i="1"/>
  <c r="J38" i="1"/>
  <c r="J37" i="1" s="1"/>
  <c r="J42" i="1"/>
  <c r="J39" i="1"/>
  <c r="J99" i="1"/>
  <c r="J103" i="1"/>
  <c r="J106" i="1"/>
  <c r="J102" i="1"/>
  <c r="J101" i="1" s="1"/>
  <c r="H138" i="4"/>
  <c r="H139" i="4" s="1"/>
  <c r="H60" i="4"/>
  <c r="H61" i="4" s="1"/>
  <c r="I104" i="4"/>
  <c r="I98" i="4"/>
  <c r="I107" i="4"/>
  <c r="K62" i="1"/>
  <c r="K64" i="1" s="1"/>
  <c r="K74" i="4"/>
  <c r="H105" i="4"/>
  <c r="H106" i="4" s="1"/>
  <c r="I126" i="4"/>
  <c r="I120" i="4"/>
  <c r="I129" i="4"/>
  <c r="I70" i="4"/>
  <c r="I64" i="4"/>
  <c r="I73" i="4"/>
  <c r="I77" i="4"/>
  <c r="I80" i="4"/>
  <c r="I79" i="4" s="1"/>
  <c r="I22" i="1"/>
  <c r="I23" i="1" s="1"/>
  <c r="J109" i="4"/>
  <c r="J115" i="4"/>
  <c r="J118" i="4"/>
  <c r="J12" i="7"/>
  <c r="K7" i="27"/>
  <c r="K12" i="7" s="1"/>
  <c r="I91" i="4"/>
  <c r="I90" i="4" s="1"/>
  <c r="I88" i="4"/>
  <c r="J9" i="4"/>
  <c r="J11" i="4"/>
  <c r="I14" i="4"/>
  <c r="I8" i="4"/>
  <c r="I17" i="4"/>
  <c r="I140" i="4"/>
  <c r="I137" i="4"/>
  <c r="I131" i="4"/>
  <c r="I104" i="1"/>
  <c r="I105" i="1" s="1"/>
  <c r="I116" i="4"/>
  <c r="I117" i="4" s="1"/>
  <c r="I58" i="1"/>
  <c r="I59" i="1" s="1"/>
  <c r="J111" i="1"/>
  <c r="J110" i="1" s="1"/>
  <c r="J108" i="1"/>
  <c r="J112" i="1"/>
  <c r="J115" i="1"/>
  <c r="I21" i="4"/>
  <c r="I24" i="4"/>
  <c r="I23" i="4" s="1"/>
  <c r="K7" i="4"/>
  <c r="K7" i="1"/>
  <c r="K9" i="1" s="1"/>
  <c r="K97" i="1"/>
  <c r="K94" i="1"/>
  <c r="K90" i="1"/>
  <c r="K93" i="1"/>
  <c r="K92" i="1" s="1"/>
  <c r="J14" i="7"/>
  <c r="K9" i="27"/>
  <c r="K14" i="7" s="1"/>
  <c r="J67" i="4"/>
  <c r="J65" i="4"/>
  <c r="I36" i="4"/>
  <c r="I30" i="4"/>
  <c r="I39" i="4"/>
  <c r="I68" i="1"/>
  <c r="I69" i="1" s="1"/>
  <c r="J123" i="4"/>
  <c r="J121" i="4"/>
  <c r="H48" i="4"/>
  <c r="H49" i="4" s="1"/>
  <c r="I113" i="1"/>
  <c r="I114" i="1" s="1"/>
  <c r="J24" i="1"/>
  <c r="J17" i="1"/>
  <c r="J20" i="1"/>
  <c r="J19" i="1" s="1"/>
  <c r="J21" i="1"/>
  <c r="K10" i="27"/>
  <c r="K15" i="7" s="1"/>
  <c r="J15" i="7"/>
  <c r="I66" i="4"/>
  <c r="I69" i="4"/>
  <c r="I68" i="4" s="1"/>
  <c r="J20" i="7"/>
  <c r="K15" i="27"/>
  <c r="K20" i="7" s="1"/>
  <c r="I92" i="4"/>
  <c r="I95" i="4"/>
  <c r="I86" i="4"/>
  <c r="J85" i="1"/>
  <c r="J81" i="1"/>
  <c r="J84" i="1"/>
  <c r="J83" i="1" s="1"/>
  <c r="J88" i="1"/>
  <c r="J132" i="4"/>
  <c r="J134" i="4"/>
  <c r="I28" i="4"/>
  <c r="I25" i="4"/>
  <c r="I19" i="4"/>
  <c r="K112" i="4"/>
  <c r="K110" i="4"/>
  <c r="K52" i="1"/>
  <c r="K54" i="1" s="1"/>
  <c r="K63" i="4"/>
  <c r="J53" i="1"/>
  <c r="J60" i="1"/>
  <c r="J57" i="1"/>
  <c r="J56" i="1"/>
  <c r="J55" i="1" s="1"/>
  <c r="I35" i="4"/>
  <c r="I34" i="4" s="1"/>
  <c r="I32" i="4"/>
  <c r="K11" i="27"/>
  <c r="K16" i="7" s="1"/>
  <c r="J16" i="7"/>
  <c r="K16" i="1"/>
  <c r="K18" i="1" s="1"/>
  <c r="K18" i="4"/>
  <c r="J22" i="4"/>
  <c r="J20" i="4"/>
  <c r="I58" i="4"/>
  <c r="I57" i="4" s="1"/>
  <c r="I55" i="4"/>
  <c r="J17" i="7"/>
  <c r="K12" i="27"/>
  <c r="K17" i="7" s="1"/>
  <c r="J56" i="4"/>
  <c r="J54" i="4"/>
  <c r="K98" i="1"/>
  <c r="K100" i="1" s="1"/>
  <c r="K119" i="4"/>
  <c r="I40" i="1"/>
  <c r="I41" i="1" s="1"/>
  <c r="J87" i="4"/>
  <c r="J89" i="4"/>
  <c r="L108" i="4"/>
  <c r="L89" i="1"/>
  <c r="L91" i="1" s="1"/>
  <c r="J66" i="1"/>
  <c r="J65" i="1" s="1"/>
  <c r="J67" i="1"/>
  <c r="J63" i="1"/>
  <c r="J70" i="1"/>
  <c r="K8" i="27"/>
  <c r="K13" i="7" s="1"/>
  <c r="J13" i="7"/>
  <c r="J26" i="1"/>
  <c r="J30" i="1"/>
  <c r="J33" i="1"/>
  <c r="J29" i="1"/>
  <c r="J28" i="1" s="1"/>
  <c r="K130" i="4"/>
  <c r="K107" i="1"/>
  <c r="K109" i="1" s="1"/>
  <c r="H26" i="4"/>
  <c r="H27" i="4" s="1"/>
  <c r="J101" i="4"/>
  <c r="J99" i="4"/>
  <c r="I43" i="4"/>
  <c r="I46" i="4"/>
  <c r="I45" i="4" s="1"/>
  <c r="I13" i="1"/>
  <c r="I14" i="1" s="1"/>
  <c r="K6" i="27"/>
  <c r="K11" i="7" s="1"/>
  <c r="J11" i="7"/>
  <c r="J42" i="4"/>
  <c r="J44" i="4"/>
  <c r="K71" i="1"/>
  <c r="K73" i="1" s="1"/>
  <c r="K85" i="4"/>
  <c r="K5" i="27"/>
  <c r="K10" i="7" s="1"/>
  <c r="J10" i="7"/>
  <c r="H127" i="4"/>
  <c r="H128" i="4" s="1"/>
  <c r="I100" i="4"/>
  <c r="I103" i="4"/>
  <c r="I102" i="4" s="1"/>
  <c r="H93" i="4"/>
  <c r="H94" i="4" s="1"/>
  <c r="J86" i="1" l="1"/>
  <c r="J87" i="1" s="1"/>
  <c r="K95" i="1"/>
  <c r="K96" i="1" s="1"/>
  <c r="I127" i="4"/>
  <c r="I128" i="4" s="1"/>
  <c r="J116" i="4"/>
  <c r="J117" i="4" s="1"/>
  <c r="J58" i="1"/>
  <c r="J59" i="1" s="1"/>
  <c r="J68" i="1"/>
  <c r="J69" i="1" s="1"/>
  <c r="I26" i="4"/>
  <c r="I27" i="4" s="1"/>
  <c r="K87" i="4"/>
  <c r="K89" i="4"/>
  <c r="K111" i="1"/>
  <c r="K110" i="1" s="1"/>
  <c r="K108" i="1"/>
  <c r="K115" i="1"/>
  <c r="K112" i="1"/>
  <c r="L93" i="1"/>
  <c r="L92" i="1" s="1"/>
  <c r="L90" i="1"/>
  <c r="L97" i="1"/>
  <c r="L94" i="1"/>
  <c r="K24" i="1"/>
  <c r="K21" i="1"/>
  <c r="K20" i="1"/>
  <c r="K19" i="1" s="1"/>
  <c r="K17" i="1"/>
  <c r="J136" i="4"/>
  <c r="J135" i="4" s="1"/>
  <c r="J133" i="4"/>
  <c r="J66" i="4"/>
  <c r="J69" i="4"/>
  <c r="J68" i="4" s="1"/>
  <c r="K11" i="4"/>
  <c r="K9" i="4"/>
  <c r="M40" i="4"/>
  <c r="M34" i="1"/>
  <c r="M36" i="1" s="1"/>
  <c r="K66" i="1"/>
  <c r="K65" i="1" s="1"/>
  <c r="K67" i="1"/>
  <c r="K70" i="1"/>
  <c r="K63" i="1"/>
  <c r="K47" i="1"/>
  <c r="K46" i="1" s="1"/>
  <c r="K44" i="1"/>
  <c r="K51" i="1"/>
  <c r="K48" i="1"/>
  <c r="K79" i="1"/>
  <c r="K72" i="1"/>
  <c r="K76" i="1"/>
  <c r="K75" i="1"/>
  <c r="K74" i="1" s="1"/>
  <c r="K132" i="4"/>
  <c r="K134" i="4"/>
  <c r="L62" i="1"/>
  <c r="L64" i="1" s="1"/>
  <c r="L74" i="4"/>
  <c r="J126" i="4"/>
  <c r="J120" i="4"/>
  <c r="J129" i="4"/>
  <c r="M52" i="1"/>
  <c r="M54" i="1" s="1"/>
  <c r="M63" i="4"/>
  <c r="J113" i="1"/>
  <c r="J114" i="1" s="1"/>
  <c r="J8" i="4"/>
  <c r="J14" i="4"/>
  <c r="J17" i="4"/>
  <c r="I71" i="4"/>
  <c r="I72" i="4" s="1"/>
  <c r="J104" i="1"/>
  <c r="J105" i="1" s="1"/>
  <c r="I48" i="4"/>
  <c r="I49" i="4" s="1"/>
  <c r="J36" i="4"/>
  <c r="J39" i="4"/>
  <c r="J30" i="4"/>
  <c r="J75" i="4"/>
  <c r="J84" i="4"/>
  <c r="J81" i="4"/>
  <c r="L16" i="1"/>
  <c r="L18" i="1" s="1"/>
  <c r="L18" i="4"/>
  <c r="J43" i="4"/>
  <c r="J46" i="4"/>
  <c r="J45" i="4" s="1"/>
  <c r="J100" i="4"/>
  <c r="J103" i="4"/>
  <c r="J102" i="4" s="1"/>
  <c r="L52" i="4"/>
  <c r="L43" i="1"/>
  <c r="L45" i="1" s="1"/>
  <c r="J88" i="4"/>
  <c r="J91" i="4"/>
  <c r="J90" i="4" s="1"/>
  <c r="K102" i="1"/>
  <c r="K101" i="1" s="1"/>
  <c r="K106" i="1"/>
  <c r="K99" i="1"/>
  <c r="K103" i="1"/>
  <c r="L97" i="4"/>
  <c r="L80" i="1"/>
  <c r="L82" i="1" s="1"/>
  <c r="J21" i="4"/>
  <c r="J24" i="4"/>
  <c r="J23" i="4" s="1"/>
  <c r="M85" i="4"/>
  <c r="M71" i="1"/>
  <c r="M73" i="1" s="1"/>
  <c r="K53" i="1"/>
  <c r="K57" i="1"/>
  <c r="K60" i="1"/>
  <c r="K56" i="1"/>
  <c r="K55" i="1" s="1"/>
  <c r="I93" i="4"/>
  <c r="I94" i="4" s="1"/>
  <c r="L107" i="1"/>
  <c r="L109" i="1" s="1"/>
  <c r="L130" i="4"/>
  <c r="M74" i="4"/>
  <c r="M62" i="1"/>
  <c r="M64" i="1" s="1"/>
  <c r="J125" i="4"/>
  <c r="J124" i="4" s="1"/>
  <c r="J122" i="4"/>
  <c r="L63" i="4"/>
  <c r="L52" i="1"/>
  <c r="L54" i="1" s="1"/>
  <c r="I138" i="4"/>
  <c r="I139" i="4" s="1"/>
  <c r="I15" i="4"/>
  <c r="I16" i="4" s="1"/>
  <c r="I105" i="4"/>
  <c r="I106" i="4" s="1"/>
  <c r="L7" i="1"/>
  <c r="L9" i="1" s="1"/>
  <c r="L7" i="4"/>
  <c r="J32" i="4"/>
  <c r="J35" i="4"/>
  <c r="J34" i="4" s="1"/>
  <c r="J77" i="4"/>
  <c r="J80" i="4"/>
  <c r="J79" i="4" s="1"/>
  <c r="I60" i="4"/>
  <c r="I61" i="4" s="1"/>
  <c r="I82" i="4"/>
  <c r="I83" i="4" s="1"/>
  <c r="K81" i="1"/>
  <c r="K88" i="1"/>
  <c r="K85" i="1"/>
  <c r="K84" i="1"/>
  <c r="K83" i="1" s="1"/>
  <c r="L25" i="1"/>
  <c r="L27" i="1" s="1"/>
  <c r="L29" i="4"/>
  <c r="J58" i="4"/>
  <c r="J57" i="4" s="1"/>
  <c r="J55" i="4"/>
  <c r="K111" i="4"/>
  <c r="K114" i="4"/>
  <c r="K113" i="4" s="1"/>
  <c r="J10" i="4"/>
  <c r="J13" i="4"/>
  <c r="J12" i="4" s="1"/>
  <c r="K30" i="1"/>
  <c r="K33" i="1"/>
  <c r="K26" i="1"/>
  <c r="K29" i="1"/>
  <c r="K28" i="1" s="1"/>
  <c r="K42" i="4"/>
  <c r="K44" i="4"/>
  <c r="M97" i="1"/>
  <c r="M94" i="1"/>
  <c r="M93" i="1"/>
  <c r="M92" i="1" s="1"/>
  <c r="M90" i="1"/>
  <c r="L98" i="1"/>
  <c r="L100" i="1" s="1"/>
  <c r="L119" i="4"/>
  <c r="M29" i="4"/>
  <c r="M25" i="1"/>
  <c r="M27" i="1" s="1"/>
  <c r="J104" i="4"/>
  <c r="J107" i="4"/>
  <c r="J98" i="4"/>
  <c r="J31" i="1"/>
  <c r="J32" i="1" s="1"/>
  <c r="L110" i="4"/>
  <c r="L112" i="4"/>
  <c r="K121" i="4"/>
  <c r="K123" i="4"/>
  <c r="M80" i="1"/>
  <c r="M82" i="1" s="1"/>
  <c r="M97" i="4"/>
  <c r="J28" i="4"/>
  <c r="J19" i="4"/>
  <c r="J25" i="4"/>
  <c r="L85" i="4"/>
  <c r="L71" i="1"/>
  <c r="L73" i="1" s="1"/>
  <c r="K67" i="4"/>
  <c r="K65" i="4"/>
  <c r="J137" i="4"/>
  <c r="J131" i="4"/>
  <c r="J140" i="4"/>
  <c r="M107" i="1"/>
  <c r="M109" i="1" s="1"/>
  <c r="M130" i="4"/>
  <c r="J22" i="1"/>
  <c r="J23" i="1" s="1"/>
  <c r="I37" i="4"/>
  <c r="I38" i="4" s="1"/>
  <c r="L40" i="4"/>
  <c r="L34" i="1"/>
  <c r="L36" i="1" s="1"/>
  <c r="J40" i="1"/>
  <c r="J41" i="1" s="1"/>
  <c r="M18" i="4"/>
  <c r="M16" i="1"/>
  <c r="M18" i="1" s="1"/>
  <c r="J47" i="4"/>
  <c r="J50" i="4"/>
  <c r="J41" i="4"/>
  <c r="M52" i="4"/>
  <c r="M43" i="1"/>
  <c r="M45" i="1" s="1"/>
  <c r="J86" i="4"/>
  <c r="J95" i="4"/>
  <c r="J92" i="4"/>
  <c r="J62" i="4"/>
  <c r="J59" i="4"/>
  <c r="J53" i="4"/>
  <c r="K22" i="4"/>
  <c r="K20" i="4"/>
  <c r="K115" i="4"/>
  <c r="K118" i="4"/>
  <c r="K109" i="4"/>
  <c r="J64" i="4"/>
  <c r="J73" i="4"/>
  <c r="J70" i="4"/>
  <c r="K15" i="1"/>
  <c r="K11" i="1"/>
  <c r="K10" i="1" s="1"/>
  <c r="K12" i="1"/>
  <c r="K8" i="1"/>
  <c r="K78" i="4"/>
  <c r="K76" i="4"/>
  <c r="K33" i="4"/>
  <c r="K31" i="4"/>
  <c r="M7" i="4"/>
  <c r="M7" i="1"/>
  <c r="M9" i="1" s="1"/>
  <c r="J13" i="1"/>
  <c r="J14" i="1" s="1"/>
  <c r="K35" i="1"/>
  <c r="K38" i="1"/>
  <c r="K37" i="1" s="1"/>
  <c r="K39" i="1"/>
  <c r="K42" i="1"/>
  <c r="K54" i="4"/>
  <c r="K56" i="4"/>
  <c r="M112" i="4"/>
  <c r="M110" i="4"/>
  <c r="J49" i="1"/>
  <c r="J50" i="1" s="1"/>
  <c r="J77" i="1"/>
  <c r="J78" i="1" s="1"/>
  <c r="M98" i="1"/>
  <c r="M100" i="1" s="1"/>
  <c r="M119" i="4"/>
  <c r="K99" i="4"/>
  <c r="K101" i="4"/>
  <c r="K40" i="1" l="1"/>
  <c r="K41" i="1" s="1"/>
  <c r="K13" i="1"/>
  <c r="K14" i="1" s="1"/>
  <c r="J60" i="4"/>
  <c r="J61" i="4" s="1"/>
  <c r="J48" i="4"/>
  <c r="J49" i="4" s="1"/>
  <c r="J26" i="4"/>
  <c r="J27" i="4" s="1"/>
  <c r="M95" i="1"/>
  <c r="M96" i="1" s="1"/>
  <c r="K68" i="1"/>
  <c r="K69" i="1" s="1"/>
  <c r="K22" i="1"/>
  <c r="K23" i="1" s="1"/>
  <c r="K107" i="4"/>
  <c r="K104" i="4"/>
  <c r="K98" i="4"/>
  <c r="K62" i="4"/>
  <c r="K59" i="4"/>
  <c r="K53" i="4"/>
  <c r="K39" i="4"/>
  <c r="K36" i="4"/>
  <c r="K30" i="4"/>
  <c r="M20" i="4"/>
  <c r="M22" i="4"/>
  <c r="M30" i="1"/>
  <c r="M33" i="1"/>
  <c r="M29" i="1"/>
  <c r="M28" i="1" s="1"/>
  <c r="M26" i="1"/>
  <c r="M103" i="1"/>
  <c r="M99" i="1"/>
  <c r="M106" i="1"/>
  <c r="M102" i="1"/>
  <c r="M101" i="1" s="1"/>
  <c r="M111" i="4"/>
  <c r="M114" i="4"/>
  <c r="M113" i="4" s="1"/>
  <c r="M12" i="1"/>
  <c r="M8" i="1"/>
  <c r="M15" i="1"/>
  <c r="M11" i="1"/>
  <c r="M10" i="1" s="1"/>
  <c r="K81" i="4"/>
  <c r="K75" i="4"/>
  <c r="K84" i="4"/>
  <c r="J71" i="4"/>
  <c r="J72" i="4" s="1"/>
  <c r="K25" i="4"/>
  <c r="K28" i="4"/>
  <c r="K19" i="4"/>
  <c r="M48" i="1"/>
  <c r="M44" i="1"/>
  <c r="M51" i="1"/>
  <c r="M47" i="1"/>
  <c r="M46" i="1" s="1"/>
  <c r="L39" i="1"/>
  <c r="L38" i="1"/>
  <c r="L37" i="1" s="1"/>
  <c r="L42" i="1"/>
  <c r="L35" i="1"/>
  <c r="M132" i="4"/>
  <c r="M134" i="4"/>
  <c r="L87" i="4"/>
  <c r="L89" i="4"/>
  <c r="M101" i="4"/>
  <c r="M99" i="4"/>
  <c r="L114" i="4"/>
  <c r="L113" i="4" s="1"/>
  <c r="L111" i="4"/>
  <c r="L121" i="4"/>
  <c r="L123" i="4"/>
  <c r="L67" i="4"/>
  <c r="L65" i="4"/>
  <c r="M76" i="4"/>
  <c r="M78" i="4"/>
  <c r="M79" i="1"/>
  <c r="M75" i="1"/>
  <c r="M74" i="1" s="1"/>
  <c r="M72" i="1"/>
  <c r="M76" i="1"/>
  <c r="L84" i="1"/>
  <c r="L83" i="1" s="1"/>
  <c r="L85" i="1"/>
  <c r="L81" i="1"/>
  <c r="L88" i="1"/>
  <c r="L47" i="1"/>
  <c r="L46" i="1" s="1"/>
  <c r="L48" i="1"/>
  <c r="L51" i="1"/>
  <c r="L44" i="1"/>
  <c r="J127" i="4"/>
  <c r="J128" i="4" s="1"/>
  <c r="K136" i="4"/>
  <c r="K135" i="4" s="1"/>
  <c r="K133" i="4"/>
  <c r="K77" i="1"/>
  <c r="K78" i="1" s="1"/>
  <c r="K49" i="1"/>
  <c r="K50" i="1" s="1"/>
  <c r="K8" i="4"/>
  <c r="K17" i="4"/>
  <c r="K14" i="4"/>
  <c r="L95" i="1"/>
  <c r="L96" i="1" s="1"/>
  <c r="K113" i="1"/>
  <c r="K114" i="1" s="1"/>
  <c r="K103" i="4"/>
  <c r="K102" i="4" s="1"/>
  <c r="K100" i="4"/>
  <c r="K58" i="4"/>
  <c r="K57" i="4" s="1"/>
  <c r="K55" i="4"/>
  <c r="M11" i="4"/>
  <c r="M9" i="4"/>
  <c r="K77" i="4"/>
  <c r="K80" i="4"/>
  <c r="K79" i="4" s="1"/>
  <c r="K116" i="4"/>
  <c r="K117" i="4" s="1"/>
  <c r="K21" i="4"/>
  <c r="K24" i="4"/>
  <c r="K23" i="4" s="1"/>
  <c r="M56" i="4"/>
  <c r="M54" i="4"/>
  <c r="M17" i="1"/>
  <c r="M20" i="1"/>
  <c r="M19" i="1" s="1"/>
  <c r="M24" i="1"/>
  <c r="M21" i="1"/>
  <c r="L44" i="4"/>
  <c r="L42" i="4"/>
  <c r="M111" i="1"/>
  <c r="M110" i="1" s="1"/>
  <c r="M112" i="1"/>
  <c r="M108" i="1"/>
  <c r="M115" i="1"/>
  <c r="K70" i="4"/>
  <c r="K73" i="4"/>
  <c r="K64" i="4"/>
  <c r="M88" i="1"/>
  <c r="M81" i="1"/>
  <c r="M85" i="1"/>
  <c r="M84" i="1"/>
  <c r="M83" i="1" s="1"/>
  <c r="L118" i="4"/>
  <c r="L109" i="4"/>
  <c r="L115" i="4"/>
  <c r="L102" i="1"/>
  <c r="L101" i="1" s="1"/>
  <c r="L106" i="1"/>
  <c r="L99" i="1"/>
  <c r="L103" i="1"/>
  <c r="K31" i="1"/>
  <c r="K32" i="1" s="1"/>
  <c r="L134" i="4"/>
  <c r="L132" i="4"/>
  <c r="M87" i="4"/>
  <c r="M89" i="4"/>
  <c r="L99" i="4"/>
  <c r="L101" i="4"/>
  <c r="L54" i="4"/>
  <c r="L56" i="4"/>
  <c r="M67" i="4"/>
  <c r="M65" i="4"/>
  <c r="K137" i="4"/>
  <c r="K131" i="4"/>
  <c r="K140" i="4"/>
  <c r="K10" i="4"/>
  <c r="K13" i="4"/>
  <c r="K12" i="4" s="1"/>
  <c r="K69" i="4"/>
  <c r="K68" i="4" s="1"/>
  <c r="K66" i="4"/>
  <c r="K122" i="4"/>
  <c r="K125" i="4"/>
  <c r="K124" i="4" s="1"/>
  <c r="K43" i="4"/>
  <c r="K46" i="4"/>
  <c r="K45" i="4" s="1"/>
  <c r="L33" i="4"/>
  <c r="L31" i="4"/>
  <c r="L9" i="4"/>
  <c r="L11" i="4"/>
  <c r="L112" i="1"/>
  <c r="L115" i="1"/>
  <c r="L108" i="1"/>
  <c r="L111" i="1"/>
  <c r="L110" i="1" s="1"/>
  <c r="L20" i="4"/>
  <c r="L22" i="4"/>
  <c r="J82" i="4"/>
  <c r="J83" i="4" s="1"/>
  <c r="M57" i="1"/>
  <c r="M60" i="1"/>
  <c r="M53" i="1"/>
  <c r="M56" i="1"/>
  <c r="M55" i="1" s="1"/>
  <c r="L78" i="4"/>
  <c r="L76" i="4"/>
  <c r="M35" i="1"/>
  <c r="M42" i="1"/>
  <c r="M39" i="1"/>
  <c r="M38" i="1"/>
  <c r="M37" i="1" s="1"/>
  <c r="K88" i="4"/>
  <c r="K91" i="4"/>
  <c r="K90" i="4" s="1"/>
  <c r="M121" i="4"/>
  <c r="M123" i="4"/>
  <c r="M115" i="4"/>
  <c r="M109" i="4"/>
  <c r="M118" i="4"/>
  <c r="K32" i="4"/>
  <c r="K35" i="4"/>
  <c r="K34" i="4" s="1"/>
  <c r="J93" i="4"/>
  <c r="J94" i="4" s="1"/>
  <c r="J138" i="4"/>
  <c r="J139" i="4" s="1"/>
  <c r="L72" i="1"/>
  <c r="L75" i="1"/>
  <c r="L74" i="1" s="1"/>
  <c r="L76" i="1"/>
  <c r="L79" i="1"/>
  <c r="K129" i="4"/>
  <c r="K120" i="4"/>
  <c r="K126" i="4"/>
  <c r="J105" i="4"/>
  <c r="J106" i="4" s="1"/>
  <c r="M33" i="4"/>
  <c r="M31" i="4"/>
  <c r="K41" i="4"/>
  <c r="K47" i="4"/>
  <c r="K50" i="4"/>
  <c r="L29" i="1"/>
  <c r="L28" i="1" s="1"/>
  <c r="L30" i="1"/>
  <c r="L33" i="1"/>
  <c r="L26" i="1"/>
  <c r="K86" i="1"/>
  <c r="K87" i="1" s="1"/>
  <c r="L11" i="1"/>
  <c r="L10" i="1" s="1"/>
  <c r="L15" i="1"/>
  <c r="L8" i="1"/>
  <c r="L12" i="1"/>
  <c r="L56" i="1"/>
  <c r="L55" i="1" s="1"/>
  <c r="L60" i="1"/>
  <c r="L53" i="1"/>
  <c r="L57" i="1"/>
  <c r="M70" i="1"/>
  <c r="M66" i="1"/>
  <c r="M65" i="1" s="1"/>
  <c r="M63" i="1"/>
  <c r="M67" i="1"/>
  <c r="K58" i="1"/>
  <c r="K59" i="1" s="1"/>
  <c r="K104" i="1"/>
  <c r="K105" i="1" s="1"/>
  <c r="L17" i="1"/>
  <c r="L21" i="1"/>
  <c r="L20" i="1"/>
  <c r="L19" i="1" s="1"/>
  <c r="L24" i="1"/>
  <c r="J37" i="4"/>
  <c r="J38" i="4" s="1"/>
  <c r="J15" i="4"/>
  <c r="J16" i="4" s="1"/>
  <c r="L67" i="1"/>
  <c r="L66" i="1"/>
  <c r="L65" i="1" s="1"/>
  <c r="L63" i="1"/>
  <c r="L70" i="1"/>
  <c r="M42" i="4"/>
  <c r="M44" i="4"/>
  <c r="K92" i="4"/>
  <c r="K95" i="4"/>
  <c r="K86" i="4"/>
  <c r="M68" i="1" l="1"/>
  <c r="M69" i="1" s="1"/>
  <c r="L116" i="4"/>
  <c r="L117" i="4" s="1"/>
  <c r="K93" i="4"/>
  <c r="K94" i="4" s="1"/>
  <c r="K48" i="4"/>
  <c r="K49" i="4" s="1"/>
  <c r="M116" i="4"/>
  <c r="M117" i="4" s="1"/>
  <c r="L113" i="1"/>
  <c r="L114" i="1" s="1"/>
  <c r="K138" i="4"/>
  <c r="K139" i="4" s="1"/>
  <c r="M22" i="1"/>
  <c r="M23" i="1" s="1"/>
  <c r="L49" i="1"/>
  <c r="L50" i="1" s="1"/>
  <c r="M113" i="1"/>
  <c r="M114" i="1" s="1"/>
  <c r="M49" i="1"/>
  <c r="M50" i="1" s="1"/>
  <c r="K60" i="4"/>
  <c r="K61" i="4" s="1"/>
  <c r="M50" i="4"/>
  <c r="M47" i="4"/>
  <c r="M41" i="4"/>
  <c r="L14" i="4"/>
  <c r="L17" i="4"/>
  <c r="L8" i="4"/>
  <c r="L55" i="4"/>
  <c r="L58" i="4"/>
  <c r="L57" i="4" s="1"/>
  <c r="K71" i="4"/>
  <c r="K72" i="4" s="1"/>
  <c r="L46" i="4"/>
  <c r="L45" i="4" s="1"/>
  <c r="L43" i="4"/>
  <c r="M14" i="4"/>
  <c r="M17" i="4"/>
  <c r="M8" i="4"/>
  <c r="L68" i="1"/>
  <c r="L69" i="1" s="1"/>
  <c r="L22" i="1"/>
  <c r="L23" i="1" s="1"/>
  <c r="L58" i="1"/>
  <c r="L59" i="1" s="1"/>
  <c r="L13" i="1"/>
  <c r="L14" i="1" s="1"/>
  <c r="L31" i="1"/>
  <c r="L32" i="1" s="1"/>
  <c r="M35" i="4"/>
  <c r="M34" i="4" s="1"/>
  <c r="M32" i="4"/>
  <c r="L77" i="1"/>
  <c r="L78" i="1" s="1"/>
  <c r="M125" i="4"/>
  <c r="M124" i="4" s="1"/>
  <c r="M122" i="4"/>
  <c r="L75" i="4"/>
  <c r="L84" i="4"/>
  <c r="L81" i="4"/>
  <c r="L28" i="4"/>
  <c r="L19" i="4"/>
  <c r="L25" i="4"/>
  <c r="L32" i="4"/>
  <c r="L35" i="4"/>
  <c r="L34" i="4" s="1"/>
  <c r="M73" i="4"/>
  <c r="M70" i="4"/>
  <c r="M64" i="4"/>
  <c r="L103" i="4"/>
  <c r="L102" i="4" s="1"/>
  <c r="L100" i="4"/>
  <c r="L137" i="4"/>
  <c r="L131" i="4"/>
  <c r="L140" i="4"/>
  <c r="L104" i="1"/>
  <c r="L105" i="1" s="1"/>
  <c r="M86" i="1"/>
  <c r="M87" i="1" s="1"/>
  <c r="M55" i="4"/>
  <c r="M58" i="4"/>
  <c r="M57" i="4" s="1"/>
  <c r="K15" i="4"/>
  <c r="K16" i="4" s="1"/>
  <c r="L73" i="4"/>
  <c r="L64" i="4"/>
  <c r="L70" i="4"/>
  <c r="L88" i="4"/>
  <c r="L91" i="4"/>
  <c r="L90" i="4" s="1"/>
  <c r="L40" i="1"/>
  <c r="L41" i="1" s="1"/>
  <c r="K26" i="4"/>
  <c r="K27" i="4" s="1"/>
  <c r="M43" i="4"/>
  <c r="M46" i="4"/>
  <c r="M45" i="4" s="1"/>
  <c r="M120" i="4"/>
  <c r="M126" i="4"/>
  <c r="M129" i="4"/>
  <c r="L80" i="4"/>
  <c r="L79" i="4" s="1"/>
  <c r="L77" i="4"/>
  <c r="L13" i="4"/>
  <c r="L12" i="4" s="1"/>
  <c r="L10" i="4"/>
  <c r="M66" i="4"/>
  <c r="M69" i="4"/>
  <c r="M68" i="4" s="1"/>
  <c r="L98" i="4"/>
  <c r="L107" i="4"/>
  <c r="L104" i="4"/>
  <c r="L136" i="4"/>
  <c r="L135" i="4" s="1"/>
  <c r="L133" i="4"/>
  <c r="L50" i="4"/>
  <c r="L41" i="4"/>
  <c r="L47" i="4"/>
  <c r="L66" i="4"/>
  <c r="L69" i="4"/>
  <c r="L68" i="4" s="1"/>
  <c r="L92" i="4"/>
  <c r="L95" i="4"/>
  <c r="L86" i="4"/>
  <c r="K82" i="4"/>
  <c r="K83" i="4" s="1"/>
  <c r="M13" i="1"/>
  <c r="M14" i="1" s="1"/>
  <c r="M31" i="1"/>
  <c r="M32" i="1" s="1"/>
  <c r="M24" i="4"/>
  <c r="M23" i="4" s="1"/>
  <c r="M21" i="4"/>
  <c r="K105" i="4"/>
  <c r="K106" i="4" s="1"/>
  <c r="M88" i="4"/>
  <c r="M91" i="4"/>
  <c r="M90" i="4" s="1"/>
  <c r="M80" i="4"/>
  <c r="M79" i="4" s="1"/>
  <c r="M77" i="4"/>
  <c r="L122" i="4"/>
  <c r="L125" i="4"/>
  <c r="L124" i="4" s="1"/>
  <c r="M107" i="4"/>
  <c r="M98" i="4"/>
  <c r="M104" i="4"/>
  <c r="M133" i="4"/>
  <c r="M136" i="4"/>
  <c r="M135" i="4" s="1"/>
  <c r="M28" i="4"/>
  <c r="M25" i="4"/>
  <c r="M19" i="4"/>
  <c r="M30" i="4"/>
  <c r="M39" i="4"/>
  <c r="M36" i="4"/>
  <c r="K127" i="4"/>
  <c r="K128" i="4" s="1"/>
  <c r="M40" i="1"/>
  <c r="M41" i="1" s="1"/>
  <c r="M58" i="1"/>
  <c r="M59" i="1" s="1"/>
  <c r="L21" i="4"/>
  <c r="L24" i="4"/>
  <c r="L23" i="4" s="1"/>
  <c r="L30" i="4"/>
  <c r="L39" i="4"/>
  <c r="L36" i="4"/>
  <c r="L62" i="4"/>
  <c r="L53" i="4"/>
  <c r="L59" i="4"/>
  <c r="M95" i="4"/>
  <c r="M86" i="4"/>
  <c r="M92" i="4"/>
  <c r="M53" i="4"/>
  <c r="M59" i="4"/>
  <c r="M62" i="4"/>
  <c r="M10" i="4"/>
  <c r="M13" i="4"/>
  <c r="M12" i="4" s="1"/>
  <c r="L86" i="1"/>
  <c r="L87" i="1" s="1"/>
  <c r="M77" i="1"/>
  <c r="M78" i="1" s="1"/>
  <c r="M84" i="4"/>
  <c r="M75" i="4"/>
  <c r="M81" i="4"/>
  <c r="L120" i="4"/>
  <c r="L129" i="4"/>
  <c r="L126" i="4"/>
  <c r="M100" i="4"/>
  <c r="M103" i="4"/>
  <c r="M102" i="4" s="1"/>
  <c r="M137" i="4"/>
  <c r="M140" i="4"/>
  <c r="M131" i="4"/>
  <c r="M104" i="1"/>
  <c r="M105" i="1" s="1"/>
  <c r="K37" i="4"/>
  <c r="K38" i="4" s="1"/>
  <c r="M82" i="4" l="1"/>
  <c r="M83" i="4" s="1"/>
  <c r="M60" i="4"/>
  <c r="M61" i="4" s="1"/>
  <c r="L48" i="4"/>
  <c r="L49" i="4" s="1"/>
  <c r="M93" i="4"/>
  <c r="M94" i="4" s="1"/>
  <c r="M26" i="4"/>
  <c r="M27" i="4" s="1"/>
  <c r="L127" i="4"/>
  <c r="L128" i="4" s="1"/>
  <c r="L93" i="4"/>
  <c r="L94" i="4" s="1"/>
  <c r="L105" i="4"/>
  <c r="L106" i="4" s="1"/>
  <c r="M138" i="4"/>
  <c r="M139" i="4" s="1"/>
  <c r="M127" i="4"/>
  <c r="M128" i="4" s="1"/>
  <c r="L71" i="4"/>
  <c r="L72" i="4" s="1"/>
  <c r="L138" i="4"/>
  <c r="L139" i="4" s="1"/>
  <c r="M71" i="4"/>
  <c r="M72" i="4" s="1"/>
  <c r="M48" i="4"/>
  <c r="M49" i="4" s="1"/>
  <c r="M105" i="4"/>
  <c r="M106" i="4" s="1"/>
  <c r="M15" i="4"/>
  <c r="M16" i="4" s="1"/>
  <c r="L15" i="4"/>
  <c r="L16" i="4" s="1"/>
  <c r="L60" i="4"/>
  <c r="L61" i="4" s="1"/>
  <c r="L37" i="4"/>
  <c r="L38" i="4" s="1"/>
  <c r="M37" i="4"/>
  <c r="M38" i="4" s="1"/>
  <c r="L26" i="4"/>
  <c r="L27" i="4" s="1"/>
  <c r="L82" i="4"/>
  <c r="L83" i="4" s="1"/>
</calcChain>
</file>

<file path=xl/comments1.xml><?xml version="1.0" encoding="utf-8"?>
<comments xmlns="http://schemas.openxmlformats.org/spreadsheetml/2006/main">
  <authors>
    <author>anthony.fanchi</author>
    <author>Anthony J. Fanchi</author>
    <author>Anthony J Fanchi</author>
  </authors>
  <commentList>
    <comment ref="C19" authorId="0">
      <text>
        <r>
          <rPr>
            <b/>
            <sz val="9"/>
            <color indexed="81"/>
            <rFont val="Tahoma"/>
            <family val="2"/>
          </rPr>
          <t>Click here to go straight to the pay charts.</t>
        </r>
        <r>
          <rPr>
            <sz val="9"/>
            <color indexed="81"/>
            <rFont val="Tahoma"/>
            <family val="2"/>
          </rPr>
          <t xml:space="preserve">
</t>
        </r>
      </text>
    </comment>
    <comment ref="F27" authorId="1">
      <text>
        <r>
          <rPr>
            <b/>
            <sz val="9"/>
            <color indexed="81"/>
            <rFont val="Tahoma"/>
            <family val="2"/>
          </rPr>
          <t>Click here to enter a special salary rate</t>
        </r>
      </text>
    </comment>
    <comment ref="C31" authorId="2">
      <text>
        <r>
          <rPr>
            <b/>
            <sz val="8"/>
            <color indexed="81"/>
            <rFont val="Tahoma"/>
            <family val="2"/>
          </rPr>
          <t>Select 84, 72, 60, or 56</t>
        </r>
      </text>
    </comment>
    <comment ref="C33" authorId="2">
      <text>
        <r>
          <rPr>
            <b/>
            <sz val="8"/>
            <color indexed="81"/>
            <rFont val="Tahoma"/>
            <family val="2"/>
          </rPr>
          <t>Select 60 or 56</t>
        </r>
      </text>
    </comment>
    <comment ref="C46" authorId="2">
      <text>
        <r>
          <rPr>
            <b/>
            <sz val="8"/>
            <color indexed="81"/>
            <rFont val="Tahoma"/>
            <family val="2"/>
          </rPr>
          <t>Choose an area from the provided list, which will automatically select the correct Locality and/or COLA rate.  You may also manually change the rates below.  Please note that you must still select the appropriate area.</t>
        </r>
      </text>
    </comment>
  </commentList>
</comments>
</file>

<file path=xl/comments2.xml><?xml version="1.0" encoding="utf-8"?>
<comments xmlns="http://schemas.openxmlformats.org/spreadsheetml/2006/main">
  <authors>
    <author>francis.scott</author>
    <author>Anthony J Fanchi</author>
  </authors>
  <commentList>
    <comment ref="C15" authorId="0">
      <text>
        <r>
          <rPr>
            <b/>
            <sz val="8"/>
            <color indexed="81"/>
            <rFont val="Tahoma"/>
            <family val="2"/>
          </rPr>
          <t>Enter Annual Base Salary only!  Do not include Locality Pay, Local Market Supplement, or overtime.</t>
        </r>
      </text>
    </comment>
    <comment ref="C20" authorId="1">
      <text>
        <r>
          <rPr>
            <b/>
            <sz val="8"/>
            <color indexed="81"/>
            <rFont val="Tahoma"/>
            <family val="2"/>
          </rPr>
          <t xml:space="preserve">REG BASE PAY refers to the amount listed in block 7 of your LES and is used by this program to calculate hourly rates only!  It is </t>
        </r>
        <r>
          <rPr>
            <b/>
            <u/>
            <sz val="8"/>
            <color indexed="81"/>
            <rFont val="Tahoma"/>
            <family val="2"/>
          </rPr>
          <t>not</t>
        </r>
        <r>
          <rPr>
            <b/>
            <sz val="8"/>
            <color indexed="81"/>
            <rFont val="Tahoma"/>
            <family val="2"/>
          </rPr>
          <t xml:space="preserve"> a federal firefighter's true base pay and should not be used for calculating retirement, TSP, life insurance, etc.</t>
        </r>
      </text>
    </comment>
    <comment ref="G20" authorId="1">
      <text>
        <r>
          <rPr>
            <b/>
            <sz val="8"/>
            <color indexed="81"/>
            <rFont val="Tahoma"/>
            <family val="2"/>
          </rPr>
          <t xml:space="preserve">REG BASE PAY refers to the amount listed in block 7 of your LES and is used by this program to calculate hourly rates only!  It is </t>
        </r>
        <r>
          <rPr>
            <b/>
            <u/>
            <sz val="8"/>
            <color indexed="81"/>
            <rFont val="Tahoma"/>
            <family val="2"/>
          </rPr>
          <t>not</t>
        </r>
        <r>
          <rPr>
            <b/>
            <sz val="8"/>
            <color indexed="81"/>
            <rFont val="Tahoma"/>
            <family val="2"/>
          </rPr>
          <t xml:space="preserve"> a federal firefighter's true base pay and should not be used for calculating retirement, TSP, life insurance, etc.</t>
        </r>
      </text>
    </comment>
    <comment ref="C21" authorId="1">
      <text>
        <r>
          <rPr>
            <b/>
            <sz val="8"/>
            <color indexed="81"/>
            <rFont val="Tahoma"/>
            <family val="2"/>
          </rPr>
          <t xml:space="preserve">FF PAY refers to the amount earned for 106 hours a pay period (53 a week).  It is approximately the same pay 40-hour a week employees earn.  On your LES, it is referred to as "REGULAR PAY."
</t>
        </r>
      </text>
    </comment>
    <comment ref="G21" authorId="1">
      <text>
        <r>
          <rPr>
            <b/>
            <sz val="8"/>
            <color indexed="81"/>
            <rFont val="Tahoma"/>
            <family val="2"/>
          </rPr>
          <t xml:space="preserve">REG PAY refers to amount earned for the regular 80 hours a pay period (40 a week).  On your LES, it is referred to as "REGULAR PAY."
</t>
        </r>
      </text>
    </comment>
    <comment ref="C22" authorId="1">
      <text>
        <r>
          <rPr>
            <b/>
            <sz val="8"/>
            <color indexed="81"/>
            <rFont val="Tahoma"/>
            <family val="2"/>
          </rPr>
          <t xml:space="preserve">FF RATE refers to the hourly pay actually received for the first 106 hours.  It is less than the normal GS rate.
</t>
        </r>
      </text>
    </comment>
    <comment ref="G22" authorId="1">
      <text>
        <r>
          <rPr>
            <b/>
            <sz val="8"/>
            <color indexed="81"/>
            <rFont val="Tahoma"/>
            <family val="2"/>
          </rPr>
          <t>REG RATE refers to the hourly pay actually received for those 80 hours.  It is the normal hourly rate of a 40-hour employee.</t>
        </r>
      </text>
    </comment>
    <comment ref="C23" authorId="1">
      <text>
        <r>
          <rPr>
            <b/>
            <sz val="8"/>
            <color indexed="81"/>
            <rFont val="Tahoma"/>
            <family val="2"/>
          </rPr>
          <t xml:space="preserve">OT PAY refers to overtime pay earned for all hours beyond 106.  On your LES, it is referred to as "OT IN TOUR."
</t>
        </r>
      </text>
    </comment>
    <comment ref="G23" authorId="1">
      <text>
        <r>
          <rPr>
            <b/>
            <sz val="8"/>
            <color indexed="81"/>
            <rFont val="Tahoma"/>
            <family val="2"/>
          </rPr>
          <t xml:space="preserve">FF PAY refers to the amount earned for 26 hours a pay period (hours 41 to 53 a week).  On your LES, it is also referred to as "REGULAR PAY."
</t>
        </r>
      </text>
    </comment>
    <comment ref="C24" authorId="1">
      <text>
        <r>
          <rPr>
            <b/>
            <sz val="8"/>
            <color indexed="81"/>
            <rFont val="Tahoma"/>
            <family val="2"/>
          </rPr>
          <t>OT RATE refers to 1 1/2 times the FF hourly rate.  It is less than GS overtime.</t>
        </r>
      </text>
    </comment>
    <comment ref="G24" authorId="1">
      <text>
        <r>
          <rPr>
            <b/>
            <sz val="8"/>
            <color indexed="81"/>
            <rFont val="Tahoma"/>
            <family val="2"/>
          </rPr>
          <t>FF RATE refers to the hourly pay actually received for those 26 hours.  It is the same as shift firefighters of equal grade and step receive.</t>
        </r>
      </text>
    </comment>
    <comment ref="C25" authorId="1">
      <text>
        <r>
          <rPr>
            <b/>
            <sz val="8"/>
            <color indexed="81"/>
            <rFont val="Tahoma"/>
            <family val="2"/>
          </rPr>
          <t xml:space="preserve">COLA refers to the Non-Foreign Cost of Living Allowance federal workers receive when employed outside the continental U.S.
</t>
        </r>
      </text>
    </comment>
    <comment ref="G25" authorId="1">
      <text>
        <r>
          <rPr>
            <b/>
            <sz val="8"/>
            <color indexed="81"/>
            <rFont val="Tahoma"/>
            <family val="2"/>
          </rPr>
          <t xml:space="preserve">OT PAY refers to overtime pay earned for all hours beyond 106.  On your LES, it is referred to as "OT IN TOUR."
</t>
        </r>
      </text>
    </comment>
    <comment ref="C26" authorId="1">
      <text>
        <r>
          <rPr>
            <b/>
            <sz val="8"/>
            <color indexed="81"/>
            <rFont val="Tahoma"/>
            <family val="2"/>
          </rPr>
          <t xml:space="preserve">PAY PERIOD refers to the actual gross pay you should receive each pay period.  It is derived by adding FF and OT pay together plus COLA (if applicable).
</t>
        </r>
      </text>
    </comment>
    <comment ref="G26" authorId="1">
      <text>
        <r>
          <rPr>
            <b/>
            <sz val="8"/>
            <color indexed="81"/>
            <rFont val="Tahoma"/>
            <family val="2"/>
          </rPr>
          <t>OT RATE refers to 1 1/2 times the FF hourly rate.  It is less than GS overtime.</t>
        </r>
      </text>
    </comment>
    <comment ref="C27" authorId="1">
      <text>
        <r>
          <rPr>
            <b/>
            <sz val="8"/>
            <color indexed="81"/>
            <rFont val="Tahoma"/>
            <family val="2"/>
          </rPr>
          <t xml:space="preserve">ANNUAL PAY refers to the actual gross pay you should receive for 26 or 27 (if applicable) pay periods.  
</t>
        </r>
      </text>
    </comment>
    <comment ref="G27" authorId="1">
      <text>
        <r>
          <rPr>
            <b/>
            <sz val="8"/>
            <color indexed="81"/>
            <rFont val="Tahoma"/>
            <family val="2"/>
          </rPr>
          <t xml:space="preserve">COLA refers to the Non-Foreign Cost of Living Allowance federal workers receive when employed outside the continental U.S.
</t>
        </r>
      </text>
    </comment>
    <comment ref="C28" authorId="1">
      <text>
        <r>
          <rPr>
            <b/>
            <sz val="8"/>
            <color indexed="81"/>
            <rFont val="Tahoma"/>
            <family val="2"/>
          </rPr>
          <t xml:space="preserve">FF BASE PAY refers to the "True Base Pay" of a federal firefighter.  It is the base pay that is credible for retirement, TSP, life insurance, and other purposes.  This is the amount that will be used to calculate your "High 3" salary.
</t>
        </r>
      </text>
    </comment>
    <comment ref="G28" authorId="1">
      <text>
        <r>
          <rPr>
            <b/>
            <sz val="8"/>
            <color indexed="81"/>
            <rFont val="Tahoma"/>
            <family val="2"/>
          </rPr>
          <t>PAY PERIOD refers to the actual gross pay you should receive each pay period.  It is derived by adding GS, FF, and OT pay together plus COLA (if applicable).</t>
        </r>
      </text>
    </comment>
    <comment ref="G29" authorId="1">
      <text>
        <r>
          <rPr>
            <b/>
            <sz val="8"/>
            <color indexed="81"/>
            <rFont val="Tahoma"/>
            <family val="2"/>
          </rPr>
          <t xml:space="preserve">ANNUAL PAY refers to the actual gross pay you should receive for 26 or 27 (if applicable) pay periods.  
</t>
        </r>
      </text>
    </comment>
    <comment ref="G30" authorId="1">
      <text>
        <r>
          <rPr>
            <b/>
            <sz val="8"/>
            <color indexed="81"/>
            <rFont val="Tahoma"/>
            <family val="2"/>
          </rPr>
          <t xml:space="preserve">FF BASE PAY refers to the "True Base Pay" of a federal firefighter.  It is the base pay that is credible for retirement, TSP, life insurance, and other purposes.  This is the amount that will be used to calculate your "High 3" salary.
</t>
        </r>
      </text>
    </comment>
  </commentList>
</comments>
</file>

<file path=xl/comments3.xml><?xml version="1.0" encoding="utf-8"?>
<comments xmlns="http://schemas.openxmlformats.org/spreadsheetml/2006/main">
  <authors>
    <author>Anthony J Fanchi</author>
  </authors>
  <commentList>
    <comment ref="C7" authorId="0">
      <text>
        <r>
          <rPr>
            <b/>
            <sz val="8"/>
            <color indexed="81"/>
            <rFont val="Tahoma"/>
            <family val="2"/>
          </rPr>
          <t xml:space="preserve">GS BASE PAY refers to the amount listed in block 7 of your LES and is used by this program to calculate hourly rates only!  It is </t>
        </r>
        <r>
          <rPr>
            <b/>
            <u/>
            <sz val="8"/>
            <color indexed="81"/>
            <rFont val="Tahoma"/>
            <family val="2"/>
          </rPr>
          <t>not</t>
        </r>
        <r>
          <rPr>
            <b/>
            <sz val="8"/>
            <color indexed="81"/>
            <rFont val="Tahoma"/>
            <family val="2"/>
          </rPr>
          <t xml:space="preserve"> a federal firefighter's true base pay and should not be used for calculating retirement, TSP, life insurance, etc.</t>
        </r>
      </text>
    </comment>
    <comment ref="C8" authorId="0">
      <text>
        <r>
          <rPr>
            <b/>
            <sz val="8"/>
            <color indexed="81"/>
            <rFont val="Tahoma"/>
            <family val="2"/>
          </rPr>
          <t xml:space="preserve">FF PAY refers to the amount earned for 106 hours a pay period (53 a week).  It is approximately the same pay 40-hour a week employees earn.  On your LES, it is referred to as "REGULAR PAY."
</t>
        </r>
      </text>
    </comment>
    <comment ref="C9" authorId="0">
      <text>
        <r>
          <rPr>
            <b/>
            <sz val="8"/>
            <color indexed="81"/>
            <rFont val="Tahoma"/>
            <family val="2"/>
          </rPr>
          <t xml:space="preserve">FF RATE refers to the hourly pay actually received for the first 106 hours.  It is less than the normal GS rate.
</t>
        </r>
      </text>
    </comment>
    <comment ref="C10" authorId="0">
      <text>
        <r>
          <rPr>
            <b/>
            <sz val="8"/>
            <color indexed="81"/>
            <rFont val="Tahoma"/>
            <family val="2"/>
          </rPr>
          <t xml:space="preserve">OT PAY refers to overtime pay earned for all hours beyond 106.  On your LES, it is referred to as "OT IN TOUR."
</t>
        </r>
      </text>
    </comment>
    <comment ref="C11" authorId="0">
      <text>
        <r>
          <rPr>
            <b/>
            <sz val="8"/>
            <color indexed="81"/>
            <rFont val="Tahoma"/>
            <family val="2"/>
          </rPr>
          <t>OT RATE refers to 1 1/2 times the FF hourly rate.  It is less than GS overtime.</t>
        </r>
      </text>
    </comment>
    <comment ref="C12" authorId="0">
      <text>
        <r>
          <rPr>
            <b/>
            <sz val="8"/>
            <color indexed="81"/>
            <rFont val="Tahoma"/>
            <family val="2"/>
          </rPr>
          <t xml:space="preserve">COLA refers to the Non-Foreign Cost of Living Allowance federal workers receive when employed outside the continental U.S.
</t>
        </r>
      </text>
    </comment>
    <comment ref="C13" authorId="0">
      <text>
        <r>
          <rPr>
            <b/>
            <sz val="8"/>
            <color indexed="81"/>
            <rFont val="Tahoma"/>
            <family val="2"/>
          </rPr>
          <t xml:space="preserve">PAY PERIOD refers to the actual gross pay you should receive each pay period.  It is derived by adding FF and OT pay together plus COLA (if applicable).
</t>
        </r>
      </text>
    </comment>
    <comment ref="C14" authorId="0">
      <text>
        <r>
          <rPr>
            <b/>
            <sz val="8"/>
            <color indexed="81"/>
            <rFont val="Tahoma"/>
            <family val="2"/>
          </rPr>
          <t xml:space="preserve">ANNUAL PAY refers to the actual gross pay you should receive for 26 pay periods.  
</t>
        </r>
      </text>
    </comment>
    <comment ref="C15" authorId="0">
      <text>
        <r>
          <rPr>
            <b/>
            <sz val="8"/>
            <color indexed="81"/>
            <rFont val="Tahoma"/>
            <family val="2"/>
          </rPr>
          <t xml:space="preserve">FF BASE PAY refers to the "True Base Pay" of a federal firefighter.  It is the base pay that is credible for retirement, TSP, life insurance, and other purposes.  This is the amount that will be used to calculate your "High 3" salary.
</t>
        </r>
      </text>
    </comment>
  </commentList>
</comments>
</file>

<file path=xl/comments4.xml><?xml version="1.0" encoding="utf-8"?>
<comments xmlns="http://schemas.openxmlformats.org/spreadsheetml/2006/main">
  <authors>
    <author>Anthony J Fanchi</author>
  </authors>
  <commentList>
    <comment ref="C7" authorId="0">
      <text>
        <r>
          <rPr>
            <b/>
            <sz val="8"/>
            <color indexed="81"/>
            <rFont val="Tahoma"/>
            <family val="2"/>
          </rPr>
          <t xml:space="preserve">GS BASE PAY refers to the amount listed in block 7 of your LES and is used by this program to calculate hourly rates only!  It is </t>
        </r>
        <r>
          <rPr>
            <b/>
            <u/>
            <sz val="8"/>
            <color indexed="81"/>
            <rFont val="Tahoma"/>
            <family val="2"/>
          </rPr>
          <t>not</t>
        </r>
        <r>
          <rPr>
            <b/>
            <sz val="8"/>
            <color indexed="81"/>
            <rFont val="Tahoma"/>
            <family val="2"/>
          </rPr>
          <t xml:space="preserve"> a federal firefighter's true base pay and should not be used for calculating retirement, TSP, life insurance, etc.</t>
        </r>
      </text>
    </comment>
    <comment ref="C8" authorId="0">
      <text>
        <r>
          <rPr>
            <b/>
            <sz val="8"/>
            <color indexed="81"/>
            <rFont val="Tahoma"/>
            <family val="2"/>
          </rPr>
          <t xml:space="preserve">GS PAY refers to amount earned for the regular 80 hours a pay period (40 a week).  On your LES, it is referred to as "REGULAR PAY."
</t>
        </r>
      </text>
    </comment>
    <comment ref="C9" authorId="0">
      <text>
        <r>
          <rPr>
            <b/>
            <sz val="8"/>
            <color indexed="81"/>
            <rFont val="Tahoma"/>
            <family val="2"/>
          </rPr>
          <t xml:space="preserve">GS RATE refers to the hourly pay actually received for those 80 hours.  It is the normal GS rate.
</t>
        </r>
      </text>
    </comment>
    <comment ref="C10" authorId="0">
      <text>
        <r>
          <rPr>
            <b/>
            <sz val="8"/>
            <color indexed="81"/>
            <rFont val="Tahoma"/>
            <family val="2"/>
          </rPr>
          <t xml:space="preserve">FF PAY refers to the amount earned for 26 hours a pay period (hours 41 to 53 a week).  On your LES, it is also referred to as "REGULAR PAY."
</t>
        </r>
      </text>
    </comment>
    <comment ref="C11" authorId="0">
      <text>
        <r>
          <rPr>
            <b/>
            <sz val="8"/>
            <color indexed="81"/>
            <rFont val="Tahoma"/>
            <family val="2"/>
          </rPr>
          <t>FF RATE refers to the hourly pay actually received for those 26 hours.  It is the same as shift firefighters of equal grade and step receive.</t>
        </r>
      </text>
    </comment>
    <comment ref="C12" authorId="0">
      <text>
        <r>
          <rPr>
            <b/>
            <sz val="8"/>
            <color indexed="81"/>
            <rFont val="Tahoma"/>
            <family val="2"/>
          </rPr>
          <t xml:space="preserve">OT PAY refers to overtime pay earned for all hours beyond 106.  On your LES, it is referred to as "OT IN TOUR."
</t>
        </r>
      </text>
    </comment>
    <comment ref="C13" authorId="0">
      <text>
        <r>
          <rPr>
            <b/>
            <sz val="8"/>
            <color indexed="81"/>
            <rFont val="Tahoma"/>
            <family val="2"/>
          </rPr>
          <t>OT RATE refers to 1 1/2 times the FF hourly rate.  It is less than GS overtime.</t>
        </r>
      </text>
    </comment>
    <comment ref="C14" authorId="0">
      <text>
        <r>
          <rPr>
            <b/>
            <sz val="8"/>
            <color indexed="81"/>
            <rFont val="Tahoma"/>
            <family val="2"/>
          </rPr>
          <t xml:space="preserve">COLA refers to the Non-Foreign Cost of Living Allowance federal workers receive when employed outside the continental U.S.
</t>
        </r>
      </text>
    </comment>
    <comment ref="C15" authorId="0">
      <text>
        <r>
          <rPr>
            <b/>
            <sz val="8"/>
            <color indexed="81"/>
            <rFont val="Tahoma"/>
            <family val="2"/>
          </rPr>
          <t>PAY PERIOD refers to the actual gross pay you should receive each pay period.  It is derived by adding GS, FF, and OT pay together plus COLA (if applicable).</t>
        </r>
      </text>
    </comment>
    <comment ref="C16" authorId="0">
      <text>
        <r>
          <rPr>
            <b/>
            <sz val="8"/>
            <color indexed="81"/>
            <rFont val="Tahoma"/>
            <family val="2"/>
          </rPr>
          <t xml:space="preserve">ANNUAL PAY refers to the actual gross pay you should receive for 26 pay periods.  
</t>
        </r>
      </text>
    </comment>
    <comment ref="C17" authorId="0">
      <text>
        <r>
          <rPr>
            <b/>
            <sz val="8"/>
            <color indexed="81"/>
            <rFont val="Tahoma"/>
            <family val="2"/>
          </rPr>
          <t xml:space="preserve">FF BASE PAY refers to the "True Base Pay" of a federal firefighter.  It is the base pay that is credible for retirement, TSP, life insurance, and other purposes.  This is the amount that will be used to calculate your "High 3" salary.
</t>
        </r>
      </text>
    </comment>
  </commentList>
</comments>
</file>

<file path=xl/sharedStrings.xml><?xml version="1.0" encoding="utf-8"?>
<sst xmlns="http://schemas.openxmlformats.org/spreadsheetml/2006/main" count="547" uniqueCount="181">
  <si>
    <t>GRADE</t>
  </si>
  <si>
    <t>TYPE</t>
  </si>
  <si>
    <t>STEP 1</t>
  </si>
  <si>
    <t>STEP 2</t>
  </si>
  <si>
    <t>STEP 3</t>
  </si>
  <si>
    <t>STEP 4</t>
  </si>
  <si>
    <t>STEP 5</t>
  </si>
  <si>
    <t>STEP 6</t>
  </si>
  <si>
    <t>STEP 7</t>
  </si>
  <si>
    <t>STEP 8</t>
  </si>
  <si>
    <t>STEP 9</t>
  </si>
  <si>
    <t>STEP 10</t>
  </si>
  <si>
    <t>GS 7</t>
  </si>
  <si>
    <t>FF RATE</t>
  </si>
  <si>
    <t>OT RATE</t>
  </si>
  <si>
    <t>GS 8</t>
  </si>
  <si>
    <t>GS 11</t>
  </si>
  <si>
    <t>PAY PERIOD</t>
  </si>
  <si>
    <t>GS 6</t>
  </si>
  <si>
    <t xml:space="preserve"> </t>
  </si>
  <si>
    <t>GS RATE</t>
  </si>
  <si>
    <t>GS 9</t>
  </si>
  <si>
    <t>GS 3</t>
  </si>
  <si>
    <t>GS 4</t>
  </si>
  <si>
    <t>GS 5</t>
  </si>
  <si>
    <t>GS 10</t>
  </si>
  <si>
    <t>GS 12</t>
  </si>
  <si>
    <t>Grade</t>
  </si>
  <si>
    <t>Annual Rates for Steps (in dollars)</t>
  </si>
  <si>
    <t> </t>
  </si>
  <si>
    <t>GS BASE PAY</t>
  </si>
  <si>
    <t>GS 13</t>
  </si>
  <si>
    <t>Overtime rate is capped at GS 10 step 1-True Overtime.  Currently:</t>
  </si>
  <si>
    <t>ANNUAL PAY</t>
  </si>
  <si>
    <t>YEAR</t>
  </si>
  <si>
    <t>FEDERAL FIREFIGHTER PAY CHART</t>
  </si>
  <si>
    <t>This is NOT an official pay chart.</t>
  </si>
  <si>
    <t>GENERAL SCHEDULE PAY CHART</t>
  </si>
  <si>
    <t>Shift Schedule:</t>
  </si>
  <si>
    <t>One night a week:</t>
  </si>
  <si>
    <t>Hours</t>
  </si>
  <si>
    <t>FF PAY</t>
  </si>
  <si>
    <t>OT  PAY</t>
  </si>
  <si>
    <t>HOURS</t>
  </si>
  <si>
    <t>GS PAY</t>
  </si>
  <si>
    <t>RAISE</t>
  </si>
  <si>
    <t>COLA (If used)</t>
  </si>
  <si>
    <t>Steps</t>
  </si>
  <si>
    <t>GS-3</t>
  </si>
  <si>
    <t>GS-4</t>
  </si>
  <si>
    <t>GS-5</t>
  </si>
  <si>
    <t>GS-6</t>
  </si>
  <si>
    <t>GS-7</t>
  </si>
  <si>
    <t>GS-8</t>
  </si>
  <si>
    <t>GS-9</t>
  </si>
  <si>
    <t>GS-10</t>
  </si>
  <si>
    <t>GS-11</t>
  </si>
  <si>
    <t>GS-12</t>
  </si>
  <si>
    <t>GS-13</t>
  </si>
  <si>
    <t>Year</t>
  </si>
  <si>
    <t>Raise</t>
  </si>
  <si>
    <t>GENERAL SCHEDULE PAY - NO LOCALITY</t>
  </si>
  <si>
    <t>Developed by Anthony J. Fanchi</t>
  </si>
  <si>
    <t>U.S. Virgin Islands</t>
  </si>
  <si>
    <t>Guam and Northern Mariana Islands</t>
  </si>
  <si>
    <t>Puerto Rico</t>
  </si>
  <si>
    <t>Set for Rest of US initially.  Change as needed.</t>
  </si>
  <si>
    <t>Locality Rate:</t>
  </si>
  <si>
    <t>Basic Pay (No Locality or COLA)</t>
  </si>
  <si>
    <t>Locality/COLA Area:</t>
  </si>
  <si>
    <t>Applicable year:</t>
  </si>
  <si>
    <t>FF BASE PAY</t>
  </si>
  <si>
    <t>should not be used for calculating retirement, TSP, life insurance, etc.</t>
  </si>
  <si>
    <t xml:space="preserve">FF BASE PAY refers to the "True Base Pay" of a federal firefighter.  It is the base pay that is credible for retirement, TSP, life insurance, and other purposes.  This is the </t>
  </si>
  <si>
    <t>amount that will be used to calculate your "High 3" salary.</t>
  </si>
  <si>
    <r>
      <t xml:space="preserve">GS BASE PAY refers to the amount listed in block 7 of your LES and is used by this program to calculate hourly rates only!  It is </t>
    </r>
    <r>
      <rPr>
        <b/>
        <u/>
        <sz val="10"/>
        <rFont val="Arial"/>
        <family val="2"/>
      </rPr>
      <t>not</t>
    </r>
    <r>
      <rPr>
        <b/>
        <sz val="10"/>
        <rFont val="Arial"/>
        <family val="2"/>
      </rPr>
      <t xml:space="preserve"> a federal firefighter's true base pay and </t>
    </r>
  </si>
  <si>
    <t>Special Note:  This chart is for reference only!  It should match the pay charts on OPM's website.  It does not reflect the pay of a federal firefighter.</t>
  </si>
  <si>
    <t>Examples</t>
  </si>
  <si>
    <t>FEDERAL FIREFIGHTER PAY PROGRAM</t>
  </si>
  <si>
    <t>COLA</t>
  </si>
  <si>
    <t>Locality Rates</t>
  </si>
  <si>
    <t>American Samoa</t>
  </si>
  <si>
    <t>Johnston and Sand Island</t>
  </si>
  <si>
    <t>Midway Islands</t>
  </si>
  <si>
    <t>Wake Island</t>
  </si>
  <si>
    <t>I don't need to read all this stuff!  Take me to the pay charts!</t>
  </si>
  <si>
    <t>The following sections will provide the information necessary to change or update the above settings.</t>
  </si>
  <si>
    <t>Rest of the United States</t>
  </si>
  <si>
    <t>Locality Pay Rate:</t>
  </si>
  <si>
    <t xml:space="preserve"> Make sure the manual entries are blank if not applicable.</t>
  </si>
  <si>
    <t>Manual Locality and COLA Rate Entry Forms</t>
  </si>
  <si>
    <t xml:space="preserve"> Caution: These entries will replace the above rates.</t>
  </si>
  <si>
    <r>
      <t>SAVING YOUR CHANGES:</t>
    </r>
    <r>
      <rPr>
        <sz val="10"/>
        <rFont val="Arial"/>
        <family val="2"/>
      </rPr>
      <t xml:space="preserve">  If you are making temporary changes only, do not click save when you are done.  When you exit, click "NO" when it asks you if you want to save the changes.  This way the file will revert back to the original settings.  If your changes are permanent, I recommend using the "SAVE AS" feature and then giving the new file a different name, such as the locality area.  Again, this will preserve the original file in case there is a problem with the new one.  It is always nice to have the original to fall back on.</t>
    </r>
  </si>
  <si>
    <t>COLA Rate</t>
  </si>
  <si>
    <t>Post</t>
  </si>
  <si>
    <t>Return to Start Page</t>
  </si>
  <si>
    <t>COLA Rate:</t>
  </si>
  <si>
    <t>Shift Firefighters</t>
  </si>
  <si>
    <t>Chief / Training / Inspectors</t>
  </si>
  <si>
    <r>
      <t xml:space="preserve">COLA vs. Post Differential:  </t>
    </r>
    <r>
      <rPr>
        <sz val="10"/>
        <rFont val="Arial"/>
        <family val="2"/>
      </rPr>
      <t>Some areas receive a Post Differential rather than a COLA, and it may be possible to receive both.  When both rates apply, this program combines the two under one COLA rate, which is capped at 25%.  If your actual rate(s) differs, you may manually enter the correct rate below.</t>
    </r>
  </si>
  <si>
    <t>Annual Basic Pay:</t>
  </si>
  <si>
    <t>PAY</t>
  </si>
  <si>
    <t>Chief, Training, Inspectors</t>
  </si>
  <si>
    <t># of pay periods:</t>
  </si>
  <si>
    <r>
      <t>WORK SCHEDULE:</t>
    </r>
    <r>
      <rPr>
        <sz val="10"/>
        <rFont val="Arial"/>
        <family val="2"/>
      </rPr>
      <t xml:space="preserve">  There are two main firefighter pay charts--one for 24 hour shift firefighters, and one for the firefighters who work a regular 40 hour workweek but also stay one night a week (Fire Chief, Fire Inspectors, etc).  There are three main hourly schedules--72 hours a week, 60 hours, and 56 hours.  There are also a few Firefighters who work 84 hours a week (168/pay period).  Firefighters working less than 53 hours a week are not covered by these charts.  To change an hourly schedule, click on the appropriate space below and select the new hours.</t>
    </r>
  </si>
  <si>
    <t>Do you receive a Post Differential?</t>
  </si>
  <si>
    <t>Yes</t>
  </si>
  <si>
    <t>No</t>
  </si>
  <si>
    <t>Frozen COLA</t>
  </si>
  <si>
    <t>Adjusted COLA</t>
  </si>
  <si>
    <t>Post Allowance</t>
  </si>
  <si>
    <t>COLA/Post Diff Rate:</t>
  </si>
  <si>
    <t>Please note that actual COLA rates will be less than OPM has published due to the Locality transition.</t>
  </si>
  <si>
    <t>Alaska-Anchorage-Fairbanks-Juneau</t>
  </si>
  <si>
    <t>Alaska-Rest of Alaska</t>
  </si>
  <si>
    <t>Hawaii-(County)</t>
  </si>
  <si>
    <t>Hawaii-Honolulu-Kauai-Maui and Kalawao</t>
  </si>
  <si>
    <t>Locality Pay Area</t>
  </si>
  <si>
    <t>Locality Rate</t>
  </si>
  <si>
    <t>GS-14</t>
  </si>
  <si>
    <t>GS 14</t>
  </si>
  <si>
    <t xml:space="preserve">GS BASE PAY refers to the amount listed in block 7 of your LES and is used by this program to calculate hourly rates only!  It is not a federal firefighter's true base pay and </t>
  </si>
  <si>
    <t>PAY RETENTION &amp; SPECIAL RATES</t>
  </si>
  <si>
    <t>*Note: This page is for personnel who are paid a specific salary not covered by the GS pay tables*</t>
  </si>
  <si>
    <t>This form is used to enter any special salary you may receive.  Once the "Start Page" settings are correct, you can use this form to calculate your firefighter pay.  If you do not receive any locality pay and/or COLA, you should select the "Basic Pay (No Locality or COLA)" tab on the "Start Page" or manually enter 0.0% for each rate.  If your actual rate(s) is different then the one(s) provided for your area, manually enter the correct rate(s) on the "Start Page".</t>
  </si>
  <si>
    <r>
      <t>ANNUAL BASIC PAY:</t>
    </r>
    <r>
      <rPr>
        <sz val="10"/>
        <rFont val="Arial"/>
        <family val="2"/>
      </rPr>
      <t xml:space="preserve">  Please enter the amount of your annual pay, </t>
    </r>
    <r>
      <rPr>
        <b/>
        <sz val="10"/>
        <rFont val="Arial"/>
        <family val="2"/>
      </rPr>
      <t>NOT</t>
    </r>
    <r>
      <rPr>
        <sz val="10"/>
        <rFont val="Arial"/>
        <family val="2"/>
      </rPr>
      <t xml:space="preserve"> including Locality Pay, Local Market Supplement or any firefighter overtime.</t>
    </r>
  </si>
  <si>
    <t>REG BASE PAY</t>
  </si>
  <si>
    <t>REG PAY</t>
  </si>
  <si>
    <t>REG RATE</t>
  </si>
  <si>
    <t>Pay Retention &amp; Special Rates</t>
  </si>
  <si>
    <t>Note:  Basic pay will vary from employee to employee.  You will have to refer to your latest Form 50, career brief or recent LES to find your current basic pay.</t>
  </si>
  <si>
    <r>
      <t>FILE SPREADSHEETS:</t>
    </r>
    <r>
      <rPr>
        <sz val="10"/>
        <rFont val="Arial"/>
        <family val="2"/>
      </rPr>
      <t xml:space="preserve">  Once you have made any necessary adjustments, you can proceed to the pay charts.  There are five spreadsheets altogether, the first being this "Start Page."  The others are labeled "Pay Retention &amp; Special Rates", "GS Pay Scale", "Shift Firefighters", "Chief, Training, Inspectors."  To view a chart, click on the appropriate tab located along the bottom of the screen.  Once you have the chart you want and have verified the settings are correct, you can print several hardcopies to hand out.  If you need to make further changes, just return to the "Start Page" to enter the new settings.</t>
    </r>
  </si>
  <si>
    <r>
      <t>ANNUAL RAISES:</t>
    </r>
    <r>
      <rPr>
        <sz val="10"/>
        <rFont val="Arial"/>
        <family val="2"/>
      </rPr>
      <t xml:space="preserve">  You can estimate future salaries in this section by entering annual raises in the blocks below.  For simplicity, enter the combined rate for both the General Increase and the Locality increase.  </t>
    </r>
    <r>
      <rPr>
        <b/>
        <sz val="10"/>
        <rFont val="Arial"/>
        <family val="2"/>
      </rPr>
      <t xml:space="preserve">Please Note: </t>
    </r>
    <r>
      <rPr>
        <sz val="10"/>
        <rFont val="Arial"/>
        <family val="2"/>
      </rPr>
      <t>The size of the raises will vary based on locality area.  OPM will post all the combined rates.  Updated programs should become available as official raises are approved.</t>
    </r>
  </si>
  <si>
    <r>
      <t>Changing Locality and/or COLA Rates: C</t>
    </r>
    <r>
      <rPr>
        <sz val="10"/>
        <rFont val="Arial"/>
        <family val="2"/>
      </rPr>
      <t>lick on the tab below to select from the list of all the locality areas.  If you are unsure of your locality area, contact your payroll adviser for assistance.  Once this information has been changed, the pay charts will automatically reflect the correct locality rates.  If your actual rate(s) differs, you may manually enter the correct rate below.</t>
    </r>
  </si>
  <si>
    <r>
      <t xml:space="preserve">Non-foreign Area Cost-of-Living Allowances:  </t>
    </r>
    <r>
      <rPr>
        <sz val="10"/>
        <color indexed="10"/>
        <rFont val="Arial"/>
        <family val="2"/>
      </rPr>
      <t>The Non-Foreign Area Retirement Equity Assurance Act of 2009 changed non-foreign areas such as Alaska, Hawaii, and the United States territories, e.g. Puerto Rico, Guam, U.S. Virgin Islands, etc. to Locality Pay.  COLA will slowly be phased out as the individual Locality rates increase.</t>
    </r>
  </si>
  <si>
    <t>Locality Rates are available in Schedule 9 of the Executive Order:</t>
  </si>
  <si>
    <t xml:space="preserve">Albany-Schenectady, NY </t>
  </si>
  <si>
    <t xml:space="preserve">Albuquerque-Santa Fe-Las Vegas, NM </t>
  </si>
  <si>
    <t xml:space="preserve">Atlanta—Athens-Clarke County—Sandy Springs, GA-AL </t>
  </si>
  <si>
    <t xml:space="preserve">Austin-Round Rock, TX </t>
  </si>
  <si>
    <t xml:space="preserve">Boston-Worcester-Providence, MA-RI-NH-CT-ME </t>
  </si>
  <si>
    <t xml:space="preserve">Buffalo-Cheektowaga, NY </t>
  </si>
  <si>
    <t xml:space="preserve">Charlotte-Concord, NC-SC </t>
  </si>
  <si>
    <t xml:space="preserve">Chicago-Naperville, IL-IN-WI </t>
  </si>
  <si>
    <t xml:space="preserve">Cincinnati-Wilmington-Maysville, OH-KY-IN </t>
  </si>
  <si>
    <t xml:space="preserve">Cleveland-Akron-Canton, OH </t>
  </si>
  <si>
    <t xml:space="preserve">Colorado Springs, CO </t>
  </si>
  <si>
    <t xml:space="preserve">Columbus-Marion-Zanesville, OH </t>
  </si>
  <si>
    <t xml:space="preserve">Dallas-Fort Worth, TX-OK </t>
  </si>
  <si>
    <t xml:space="preserve">Davenport-Moline, IA-IL </t>
  </si>
  <si>
    <t xml:space="preserve">Dayton-Springfield-Sidney, OH </t>
  </si>
  <si>
    <t xml:space="preserve">Denver-Aurora, CO </t>
  </si>
  <si>
    <t xml:space="preserve">Detroit-Warren-Ann Arbor, MI </t>
  </si>
  <si>
    <t xml:space="preserve">Harrisburg-Lebanon, PA </t>
  </si>
  <si>
    <t xml:space="preserve">Hartford-West Hartford, CT-MA </t>
  </si>
  <si>
    <t xml:space="preserve">Houston-The Woodlands, TX </t>
  </si>
  <si>
    <t xml:space="preserve">Huntsville-Decatur-Albertville, AL </t>
  </si>
  <si>
    <t xml:space="preserve">Indianapolis-Carmel-Muncie, IN </t>
  </si>
  <si>
    <t xml:space="preserve">Kansas City-Overland Park-Kansas City, MO-KS </t>
  </si>
  <si>
    <t xml:space="preserve">Laredo, TX </t>
  </si>
  <si>
    <t xml:space="preserve">Las Vegas-Henderson, NV-AZ </t>
  </si>
  <si>
    <t xml:space="preserve">Los Angeles-Long Beach, CA </t>
  </si>
  <si>
    <t xml:space="preserve">Miami-Fort Lauderdale-Port St. Lucie, FL </t>
  </si>
  <si>
    <t xml:space="preserve">Milwaukee-Racine-Waukesha, WI </t>
  </si>
  <si>
    <t xml:space="preserve">Minneapolis-St. Paul, MN-WI </t>
  </si>
  <si>
    <t xml:space="preserve">New York-Newark, NY-NJ-CT-PA </t>
  </si>
  <si>
    <t xml:space="preserve">Palm Bay-Melbourne-Titusville, FL </t>
  </si>
  <si>
    <t xml:space="preserve">Philadelphia-Reading-Camden, PA-NJ-DE-MD </t>
  </si>
  <si>
    <t xml:space="preserve">Phoenix-Mesa-Scottsdale, AZ </t>
  </si>
  <si>
    <t xml:space="preserve">Pittsburgh-New Castle-Weirton, PA-OH-WV </t>
  </si>
  <si>
    <t xml:space="preserve">Portland-Vancouver-Salem, OR-WA </t>
  </si>
  <si>
    <t xml:space="preserve">Raleigh-Durham-Chapel Hill, NC </t>
  </si>
  <si>
    <t xml:space="preserve">Richmond, VA </t>
  </si>
  <si>
    <t xml:space="preserve">Sacramento-Roseville, CA-NV </t>
  </si>
  <si>
    <t xml:space="preserve">San Diego-Carlsbad, CA </t>
  </si>
  <si>
    <t xml:space="preserve">San Jose-San Francisco-Oakland, CA </t>
  </si>
  <si>
    <t xml:space="preserve">Seattle-Tacoma, WA </t>
  </si>
  <si>
    <t xml:space="preserve">St. Louis-St. Charles-Farmington, MO-IL </t>
  </si>
  <si>
    <t xml:space="preserve">Tucson-Nogales, AZ </t>
  </si>
  <si>
    <t xml:space="preserve">Washington-Baltimore-Arlington, DC-MD-VA-WV-PA </t>
  </si>
  <si>
    <r>
      <t xml:space="preserve">NSPS PAY RETENTION &amp; SPECIAL PAY RATES:  </t>
    </r>
    <r>
      <rPr>
        <sz val="10"/>
        <color theme="1"/>
        <rFont val="Arial"/>
        <family val="2"/>
      </rPr>
      <t xml:space="preserve">For the firefighters who have pay retention after NSPS or earn a special rate base pay, a separate spreadsheet is included.  This sheet allows users to manually enter their appropriate base pay.  To enter your salary, first complete any applicable changes below, then proceed to the next spreadsheet, labeled "Pay Retention &amp; Special Rates" for more info.  </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</si>
</sst>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7" formatCode="&quot;$&quot;#,##0.00_);\(&quot;$&quot;#,##0.00\)"/>
    <numFmt numFmtId="44" formatCode="_(&quot;$&quot;* #,##0.00_);_(&quot;$&quot;* \(#,##0.00\);_(&quot;$&quot;* &quot;-&quot;??_);_(@_)"/>
    <numFmt numFmtId="164" formatCode="&quot;$&quot;#,##0"/>
  </numFmts>
  <fonts count="51" x14ac:knownFonts="1">
    <font>
      <sz val="10"/>
      <name val="Arial"/>
    </font>
    <font>
      <sz val="10"/>
      <name val="Arial"/>
      <family val="2"/>
    </font>
    <font>
      <b/>
      <sz val="10"/>
      <name val="Arial"/>
      <family val="2"/>
    </font>
    <font>
      <sz val="5"/>
      <name val="Arial"/>
      <family val="2"/>
    </font>
    <font>
      <sz val="10"/>
      <name val="Arial"/>
      <family val="2"/>
    </font>
    <font>
      <sz val="9.9"/>
      <name val="Arial"/>
      <family val="2"/>
    </font>
    <font>
      <b/>
      <sz val="9.9"/>
      <name val="Arial"/>
      <family val="2"/>
    </font>
    <font>
      <b/>
      <i/>
      <sz val="9.9"/>
      <name val="Arial"/>
      <family val="2"/>
    </font>
    <font>
      <b/>
      <i/>
      <sz val="10"/>
      <name val="Arial"/>
      <family val="2"/>
    </font>
    <font>
      <i/>
      <sz val="10"/>
      <name val="Arial"/>
      <family val="2"/>
    </font>
    <font>
      <sz val="7"/>
      <name val="Arial"/>
      <family val="2"/>
    </font>
    <font>
      <u/>
      <sz val="10"/>
      <color indexed="12"/>
      <name val="Arial"/>
      <family val="2"/>
    </font>
    <font>
      <u/>
      <sz val="10"/>
      <name val="Arial"/>
      <family val="2"/>
    </font>
    <font>
      <b/>
      <sz val="20"/>
      <name val="Arial"/>
      <family val="2"/>
    </font>
    <font>
      <b/>
      <sz val="15"/>
      <name val="Arial"/>
      <family val="2"/>
    </font>
    <font>
      <b/>
      <u/>
      <sz val="10"/>
      <name val="Arial"/>
      <family val="2"/>
    </font>
    <font>
      <b/>
      <sz val="13.5"/>
      <name val="Arial"/>
      <family val="2"/>
    </font>
    <font>
      <sz val="10"/>
      <color indexed="8"/>
      <name val="Arial"/>
      <family val="2"/>
    </font>
    <font>
      <sz val="8"/>
      <name val="Arial"/>
      <family val="2"/>
    </font>
    <font>
      <b/>
      <sz val="10"/>
      <color indexed="10"/>
      <name val="Arial"/>
      <family val="2"/>
    </font>
    <font>
      <b/>
      <u/>
      <sz val="8"/>
      <color indexed="81"/>
      <name val="Tahoma"/>
      <family val="2"/>
    </font>
    <font>
      <b/>
      <i/>
      <u/>
      <sz val="18"/>
      <color indexed="13"/>
      <name val="Cambria"/>
      <family val="1"/>
    </font>
    <font>
      <sz val="10"/>
      <color indexed="10"/>
      <name val="Arial"/>
      <family val="2"/>
    </font>
    <font>
      <b/>
      <sz val="9"/>
      <color indexed="81"/>
      <name val="Tahoma"/>
      <family val="2"/>
    </font>
    <font>
      <sz val="9"/>
      <color indexed="81"/>
      <name val="Tahoma"/>
      <family val="2"/>
    </font>
    <font>
      <b/>
      <sz val="8"/>
      <color indexed="81"/>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u/>
      <sz val="24"/>
      <color indexed="13"/>
      <name val="Cambria"/>
      <family val="1"/>
    </font>
    <font>
      <b/>
      <i/>
      <u/>
      <sz val="16"/>
      <color indexed="13"/>
      <name val="Cambria"/>
      <family val="1"/>
    </font>
    <font>
      <b/>
      <u/>
      <sz val="20"/>
      <name val="Arial"/>
      <family val="2"/>
    </font>
    <font>
      <b/>
      <i/>
      <sz val="14"/>
      <color indexed="10"/>
      <name val="Arial"/>
      <family val="2"/>
    </font>
    <font>
      <b/>
      <sz val="24"/>
      <name val="Arial"/>
      <family val="2"/>
    </font>
    <font>
      <u/>
      <sz val="11"/>
      <color rgb="FFFFFF00"/>
      <name val="Cambria"/>
      <family val="1"/>
      <scheme val="major"/>
    </font>
    <font>
      <b/>
      <sz val="10"/>
      <color theme="1"/>
      <name val="Arial"/>
      <family val="2"/>
    </font>
    <font>
      <sz val="10"/>
      <color theme="1"/>
      <name val="Arial"/>
      <family val="2"/>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10"/>
        <bgColor indexed="64"/>
      </patternFill>
    </fill>
    <fill>
      <patternFill patternType="solid">
        <fgColor indexed="55"/>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top/>
      <bottom style="thin">
        <color indexed="64"/>
      </bottom>
      <diagonal/>
    </border>
    <border>
      <left style="thin">
        <color indexed="64"/>
      </left>
      <right/>
      <top style="thin">
        <color indexed="64"/>
      </top>
      <bottom/>
      <diagonal/>
    </border>
    <border>
      <left style="thin">
        <color indexed="8"/>
      </left>
      <right/>
      <top style="thin">
        <color indexed="8"/>
      </top>
      <bottom style="thin">
        <color indexed="8"/>
      </bottom>
      <diagonal/>
    </border>
    <border>
      <left style="thin">
        <color indexed="8"/>
      </left>
      <right style="thin">
        <color indexed="8"/>
      </right>
      <top/>
      <bottom style="thin">
        <color indexed="8"/>
      </bottom>
      <diagonal/>
    </border>
  </borders>
  <cellStyleXfs count="45">
    <xf numFmtId="0" fontId="0" fillId="0" borderId="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8" borderId="0" applyNumberFormat="0" applyBorder="0" applyAlignment="0" applyProtection="0"/>
    <xf numFmtId="0" fontId="26"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9" borderId="0" applyNumberFormat="0" applyBorder="0" applyAlignment="0" applyProtection="0"/>
    <xf numFmtId="0" fontId="28" fillId="3" borderId="0" applyNumberFormat="0" applyBorder="0" applyAlignment="0" applyProtection="0"/>
    <xf numFmtId="0" fontId="29" fillId="20" borderId="1" applyNumberFormat="0" applyAlignment="0" applyProtection="0"/>
    <xf numFmtId="0" fontId="30" fillId="21" borderId="2" applyNumberFormat="0" applyAlignment="0" applyProtection="0"/>
    <xf numFmtId="44" fontId="1" fillId="0" borderId="0" applyFont="0" applyFill="0" applyBorder="0" applyAlignment="0" applyProtection="0"/>
    <xf numFmtId="0" fontId="31" fillId="0" borderId="0" applyNumberFormat="0" applyFill="0" applyBorder="0" applyAlignment="0" applyProtection="0"/>
    <xf numFmtId="0" fontId="32" fillId="4"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11" fillId="0" borderId="0" applyNumberFormat="0" applyFill="0" applyBorder="0" applyAlignment="0" applyProtection="0">
      <alignment vertical="top"/>
      <protection locked="0"/>
    </xf>
    <xf numFmtId="0" fontId="36" fillId="7" borderId="1" applyNumberFormat="0" applyAlignment="0" applyProtection="0"/>
    <xf numFmtId="0" fontId="37" fillId="0" borderId="6" applyNumberFormat="0" applyFill="0" applyAlignment="0" applyProtection="0"/>
    <xf numFmtId="0" fontId="38" fillId="22" borderId="0" applyNumberFormat="0" applyBorder="0" applyAlignment="0" applyProtection="0"/>
    <xf numFmtId="0" fontId="4" fillId="23" borderId="7" applyNumberFormat="0" applyFont="0" applyAlignment="0" applyProtection="0"/>
    <xf numFmtId="0" fontId="39" fillId="20" borderId="8" applyNumberFormat="0" applyAlignment="0" applyProtection="0"/>
    <xf numFmtId="9" fontId="1"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201">
    <xf numFmtId="0" fontId="0" fillId="0" borderId="0" xfId="0"/>
    <xf numFmtId="0" fontId="4" fillId="0" borderId="0" xfId="0" applyFont="1" applyBorder="1"/>
    <xf numFmtId="0" fontId="4" fillId="0" borderId="10" xfId="0" applyFont="1" applyBorder="1" applyAlignment="1">
      <alignment horizontal="center" wrapText="1"/>
    </xf>
    <xf numFmtId="0" fontId="9" fillId="0" borderId="11" xfId="0" applyFont="1" applyBorder="1" applyAlignment="1">
      <alignment horizontal="center" wrapText="1"/>
    </xf>
    <xf numFmtId="0" fontId="9" fillId="0" borderId="12" xfId="0" applyFont="1" applyBorder="1" applyAlignment="1">
      <alignment horizontal="center" wrapText="1"/>
    </xf>
    <xf numFmtId="0" fontId="4" fillId="0" borderId="11" xfId="0" applyFont="1" applyBorder="1" applyAlignment="1">
      <alignment horizontal="center" wrapText="1"/>
    </xf>
    <xf numFmtId="10" fontId="4" fillId="0" borderId="0" xfId="0" applyNumberFormat="1" applyFont="1" applyBorder="1" applyAlignment="1">
      <alignment horizontal="center"/>
    </xf>
    <xf numFmtId="0" fontId="0" fillId="0" borderId="0" xfId="0" applyFill="1"/>
    <xf numFmtId="0" fontId="13" fillId="0" borderId="0" xfId="0" applyFont="1" applyFill="1" applyAlignment="1">
      <alignment horizontal="center"/>
    </xf>
    <xf numFmtId="0" fontId="13" fillId="0" borderId="0" xfId="0" applyFont="1" applyFill="1"/>
    <xf numFmtId="0" fontId="14" fillId="0" borderId="0" xfId="0" applyFont="1" applyFill="1" applyAlignment="1">
      <alignment horizontal="left"/>
    </xf>
    <xf numFmtId="0" fontId="2" fillId="0" borderId="0" xfId="0" applyFont="1" applyFill="1"/>
    <xf numFmtId="0" fontId="2" fillId="0" borderId="10" xfId="0" applyFont="1" applyFill="1" applyBorder="1" applyAlignment="1">
      <alignment horizontal="center"/>
    </xf>
    <xf numFmtId="0" fontId="2" fillId="0" borderId="13" xfId="0" applyFont="1" applyFill="1" applyBorder="1" applyAlignment="1">
      <alignment horizontal="center"/>
    </xf>
    <xf numFmtId="0" fontId="0" fillId="0" borderId="14" xfId="0" applyFill="1" applyBorder="1"/>
    <xf numFmtId="44" fontId="5" fillId="0" borderId="14" xfId="28" applyFont="1" applyFill="1" applyBorder="1" applyAlignment="1">
      <alignment horizontal="center"/>
    </xf>
    <xf numFmtId="0" fontId="0" fillId="0" borderId="13" xfId="0" applyFill="1" applyBorder="1"/>
    <xf numFmtId="44" fontId="5" fillId="0" borderId="13" xfId="28" applyNumberFormat="1" applyFont="1" applyFill="1" applyBorder="1" applyAlignment="1">
      <alignment horizontal="right"/>
    </xf>
    <xf numFmtId="0" fontId="0" fillId="0" borderId="15" xfId="0" applyFill="1" applyBorder="1"/>
    <xf numFmtId="0" fontId="2" fillId="0" borderId="15" xfId="0" applyFont="1" applyFill="1" applyBorder="1" applyAlignment="1">
      <alignment horizontal="center"/>
    </xf>
    <xf numFmtId="0" fontId="2" fillId="0" borderId="13" xfId="0" applyFont="1" applyFill="1" applyBorder="1"/>
    <xf numFmtId="44" fontId="6" fillId="0" borderId="13" xfId="28" applyNumberFormat="1" applyFont="1" applyFill="1" applyBorder="1" applyAlignment="1">
      <alignment horizontal="right"/>
    </xf>
    <xf numFmtId="0" fontId="8" fillId="0" borderId="16" xfId="0" applyFont="1" applyFill="1" applyBorder="1" applyAlignment="1">
      <alignment horizontal="right"/>
    </xf>
    <xf numFmtId="0" fontId="8" fillId="0" borderId="16" xfId="0" applyFont="1" applyFill="1" applyBorder="1"/>
    <xf numFmtId="44" fontId="7" fillId="0" borderId="16" xfId="28" applyNumberFormat="1" applyFont="1" applyFill="1" applyBorder="1" applyAlignment="1">
      <alignment horizontal="right"/>
    </xf>
    <xf numFmtId="0" fontId="9" fillId="0" borderId="0" xfId="0" applyFont="1" applyFill="1"/>
    <xf numFmtId="0" fontId="2" fillId="0" borderId="14" xfId="0" applyFont="1" applyFill="1" applyBorder="1" applyAlignment="1">
      <alignment horizontal="center"/>
    </xf>
    <xf numFmtId="0" fontId="3" fillId="0" borderId="0" xfId="0" applyFont="1" applyFill="1" applyBorder="1" applyAlignment="1">
      <alignment horizontal="right"/>
    </xf>
    <xf numFmtId="0" fontId="2" fillId="0" borderId="0" xfId="0" applyFont="1" applyFill="1" applyBorder="1"/>
    <xf numFmtId="0" fontId="0" fillId="0" borderId="0" xfId="0" applyFill="1" applyBorder="1"/>
    <xf numFmtId="7" fontId="2" fillId="0" borderId="0" xfId="28" applyNumberFormat="1" applyFont="1" applyFill="1" applyBorder="1" applyAlignment="1">
      <alignment horizontal="left"/>
    </xf>
    <xf numFmtId="0" fontId="4" fillId="0" borderId="0" xfId="0" applyFont="1" applyFill="1" applyBorder="1"/>
    <xf numFmtId="0" fontId="4" fillId="0" borderId="13" xfId="0" applyFont="1" applyFill="1" applyBorder="1"/>
    <xf numFmtId="44" fontId="4" fillId="0" borderId="13" xfId="28" applyFont="1" applyFill="1" applyBorder="1" applyAlignment="1">
      <alignment horizontal="right"/>
    </xf>
    <xf numFmtId="44" fontId="2" fillId="0" borderId="13" xfId="28" applyFont="1" applyFill="1" applyBorder="1" applyAlignment="1">
      <alignment horizontal="right"/>
    </xf>
    <xf numFmtId="44" fontId="8" fillId="0" borderId="16" xfId="28" applyFont="1" applyFill="1" applyBorder="1" applyAlignment="1">
      <alignment horizontal="right"/>
    </xf>
    <xf numFmtId="0" fontId="9" fillId="0" borderId="0" xfId="0" applyFont="1" applyFill="1" applyBorder="1"/>
    <xf numFmtId="0" fontId="4" fillId="0" borderId="15" xfId="0" applyFont="1" applyFill="1" applyBorder="1"/>
    <xf numFmtId="0" fontId="8" fillId="0" borderId="0" xfId="0" applyFont="1" applyFill="1" applyBorder="1"/>
    <xf numFmtId="0" fontId="2" fillId="0" borderId="0" xfId="0" applyFont="1" applyFill="1" applyBorder="1" applyAlignment="1">
      <alignment horizontal="right"/>
    </xf>
    <xf numFmtId="10" fontId="4" fillId="0" borderId="0" xfId="41" applyNumberFormat="1" applyFont="1" applyFill="1" applyBorder="1" applyAlignment="1">
      <alignment horizontal="center"/>
    </xf>
    <xf numFmtId="0" fontId="10" fillId="0" borderId="10" xfId="0" applyFont="1" applyFill="1" applyBorder="1" applyAlignment="1">
      <alignment wrapText="1"/>
    </xf>
    <xf numFmtId="0" fontId="9" fillId="0" borderId="10" xfId="0" applyFont="1" applyFill="1" applyBorder="1" applyAlignment="1">
      <alignment horizontal="right" wrapText="1"/>
    </xf>
    <xf numFmtId="0" fontId="9" fillId="0" borderId="10" xfId="0" applyFont="1" applyFill="1" applyBorder="1" applyAlignment="1">
      <alignment horizontal="center" wrapText="1"/>
    </xf>
    <xf numFmtId="0" fontId="4" fillId="0" borderId="10" xfId="0" applyFont="1" applyFill="1" applyBorder="1" applyAlignment="1">
      <alignment horizontal="center"/>
    </xf>
    <xf numFmtId="0" fontId="0" fillId="0" borderId="0" xfId="0" applyAlignment="1">
      <alignment horizontal="center"/>
    </xf>
    <xf numFmtId="0" fontId="0" fillId="0" borderId="0" xfId="0" applyFill="1" applyProtection="1"/>
    <xf numFmtId="0" fontId="2" fillId="0" borderId="0" xfId="0" applyFont="1" applyFill="1" applyProtection="1"/>
    <xf numFmtId="0" fontId="2" fillId="0" borderId="0" xfId="0" applyFont="1" applyFill="1" applyAlignment="1" applyProtection="1">
      <alignment horizontal="center"/>
    </xf>
    <xf numFmtId="0" fontId="15" fillId="0" borderId="0" xfId="0" applyFont="1" applyFill="1" applyProtection="1"/>
    <xf numFmtId="0" fontId="2" fillId="0" borderId="0" xfId="0" applyFont="1" applyFill="1" applyAlignment="1" applyProtection="1">
      <alignment horizontal="left"/>
    </xf>
    <xf numFmtId="0" fontId="0" fillId="0" borderId="0" xfId="0" applyFill="1" applyAlignment="1" applyProtection="1">
      <alignment horizontal="left"/>
    </xf>
    <xf numFmtId="0" fontId="4" fillId="0" borderId="0" xfId="0" applyFont="1" applyFill="1" applyProtection="1"/>
    <xf numFmtId="10" fontId="2" fillId="0" borderId="0" xfId="41" applyNumberFormat="1" applyFont="1" applyFill="1" applyBorder="1" applyAlignment="1" applyProtection="1">
      <alignment horizontal="left"/>
    </xf>
    <xf numFmtId="0" fontId="12" fillId="0" borderId="0" xfId="0" applyFont="1" applyFill="1" applyBorder="1" applyAlignment="1" applyProtection="1">
      <alignment horizontal="center"/>
    </xf>
    <xf numFmtId="10" fontId="4" fillId="0" borderId="0" xfId="0" applyNumberFormat="1" applyFont="1" applyFill="1" applyAlignment="1" applyProtection="1">
      <alignment horizontal="left"/>
    </xf>
    <xf numFmtId="0" fontId="2" fillId="0" borderId="10" xfId="0" applyFont="1" applyFill="1" applyBorder="1" applyAlignment="1" applyProtection="1">
      <alignment horizontal="center"/>
    </xf>
    <xf numFmtId="0" fontId="0" fillId="0" borderId="10" xfId="0" applyFill="1" applyBorder="1" applyAlignment="1" applyProtection="1">
      <alignment horizontal="center"/>
    </xf>
    <xf numFmtId="0" fontId="0" fillId="0" borderId="0" xfId="0" applyFill="1" applyBorder="1" applyAlignment="1" applyProtection="1">
      <alignment horizontal="center"/>
    </xf>
    <xf numFmtId="0" fontId="12" fillId="24" borderId="0" xfId="0" applyNumberFormat="1" applyFont="1" applyFill="1" applyAlignment="1" applyProtection="1">
      <alignment horizontal="center"/>
      <protection locked="0"/>
    </xf>
    <xf numFmtId="44" fontId="4" fillId="0" borderId="10" xfId="28" applyFont="1" applyFill="1" applyBorder="1" applyAlignment="1">
      <alignment horizontal="center"/>
    </xf>
    <xf numFmtId="0" fontId="4" fillId="0" borderId="13" xfId="0" applyFont="1" applyFill="1" applyBorder="1" applyAlignment="1">
      <alignment horizontal="center"/>
    </xf>
    <xf numFmtId="0" fontId="4" fillId="0" borderId="0" xfId="0" applyFont="1" applyFill="1"/>
    <xf numFmtId="0" fontId="4" fillId="0" borderId="17" xfId="0" applyFont="1" applyBorder="1" applyAlignment="1">
      <alignment horizontal="center" wrapText="1"/>
    </xf>
    <xf numFmtId="0" fontId="4" fillId="0" borderId="0" xfId="0" applyFont="1" applyBorder="1" applyAlignment="1">
      <alignment horizontal="center"/>
    </xf>
    <xf numFmtId="0" fontId="9" fillId="0" borderId="10" xfId="0" applyFont="1" applyBorder="1" applyAlignment="1">
      <alignment horizontal="center" wrapText="1"/>
    </xf>
    <xf numFmtId="0" fontId="9" fillId="0" borderId="17" xfId="0" applyFont="1" applyBorder="1" applyAlignment="1">
      <alignment horizontal="center" wrapText="1"/>
    </xf>
    <xf numFmtId="0" fontId="17" fillId="24" borderId="10" xfId="0" applyFont="1" applyFill="1" applyBorder="1" applyAlignment="1">
      <alignment horizontal="center" wrapText="1"/>
    </xf>
    <xf numFmtId="3" fontId="17" fillId="24" borderId="10" xfId="0" applyNumberFormat="1" applyFont="1" applyFill="1" applyBorder="1" applyAlignment="1">
      <alignment horizontal="center" wrapText="1"/>
    </xf>
    <xf numFmtId="3" fontId="4" fillId="0" borderId="10" xfId="0" applyNumberFormat="1" applyFont="1" applyBorder="1" applyAlignment="1">
      <alignment horizontal="center"/>
    </xf>
    <xf numFmtId="0" fontId="17" fillId="0" borderId="10" xfId="0" applyFont="1" applyBorder="1" applyAlignment="1">
      <alignment horizontal="center" wrapText="1"/>
    </xf>
    <xf numFmtId="3" fontId="17" fillId="0" borderId="10" xfId="0" applyNumberFormat="1" applyFont="1" applyBorder="1" applyAlignment="1">
      <alignment horizontal="center" wrapText="1"/>
    </xf>
    <xf numFmtId="0" fontId="17" fillId="24" borderId="14" xfId="0" applyFont="1" applyFill="1" applyBorder="1" applyAlignment="1">
      <alignment horizontal="center" wrapText="1"/>
    </xf>
    <xf numFmtId="0" fontId="17" fillId="24" borderId="17" xfId="0" applyFont="1" applyFill="1" applyBorder="1" applyAlignment="1">
      <alignment horizontal="center" wrapText="1"/>
    </xf>
    <xf numFmtId="3" fontId="17" fillId="24" borderId="18" xfId="0" applyNumberFormat="1" applyFont="1" applyFill="1" applyBorder="1" applyAlignment="1">
      <alignment horizontal="center" wrapText="1"/>
    </xf>
    <xf numFmtId="3" fontId="17" fillId="24" borderId="19" xfId="0" applyNumberFormat="1" applyFont="1" applyFill="1" applyBorder="1" applyAlignment="1">
      <alignment horizontal="center" wrapText="1"/>
    </xf>
    <xf numFmtId="1" fontId="17" fillId="24" borderId="10" xfId="0" applyNumberFormat="1" applyFont="1" applyFill="1" applyBorder="1" applyAlignment="1">
      <alignment horizontal="center" wrapText="1"/>
    </xf>
    <xf numFmtId="10" fontId="4" fillId="0" borderId="10" xfId="0" applyNumberFormat="1" applyFont="1" applyBorder="1" applyAlignment="1">
      <alignment horizontal="center"/>
    </xf>
    <xf numFmtId="1" fontId="17" fillId="0" borderId="10" xfId="0" applyNumberFormat="1" applyFont="1" applyBorder="1" applyAlignment="1">
      <alignment horizontal="center" wrapText="1"/>
    </xf>
    <xf numFmtId="0" fontId="2" fillId="0" borderId="0" xfId="0" applyFont="1" applyBorder="1" applyAlignment="1">
      <alignment horizontal="left"/>
    </xf>
    <xf numFmtId="3" fontId="0" fillId="0" borderId="10" xfId="0" applyNumberFormat="1" applyBorder="1" applyAlignment="1">
      <alignment horizontal="center" wrapText="1"/>
    </xf>
    <xf numFmtId="3" fontId="0" fillId="0" borderId="10" xfId="0" applyNumberFormat="1" applyBorder="1" applyAlignment="1">
      <alignment horizontal="center"/>
    </xf>
    <xf numFmtId="10" fontId="2" fillId="0" borderId="0" xfId="41" applyNumberFormat="1" applyFont="1" applyFill="1" applyBorder="1" applyAlignment="1">
      <alignment horizontal="left"/>
    </xf>
    <xf numFmtId="0" fontId="14" fillId="0" borderId="0" xfId="0" applyFont="1" applyFill="1" applyAlignment="1">
      <alignment horizontal="right"/>
    </xf>
    <xf numFmtId="0" fontId="0" fillId="0" borderId="20" xfId="0" applyBorder="1" applyAlignment="1">
      <alignment horizontal="left" vertical="center" wrapText="1"/>
    </xf>
    <xf numFmtId="10" fontId="0" fillId="0" borderId="20" xfId="0" applyNumberFormat="1" applyBorder="1" applyAlignment="1">
      <alignment horizontal="center" wrapText="1"/>
    </xf>
    <xf numFmtId="10" fontId="0" fillId="0" borderId="20" xfId="0" applyNumberFormat="1" applyBorder="1" applyAlignment="1">
      <alignment horizontal="center" vertical="top" wrapText="1"/>
    </xf>
    <xf numFmtId="0" fontId="12" fillId="0" borderId="0" xfId="0" applyFont="1" applyFill="1" applyBorder="1" applyAlignment="1" applyProtection="1">
      <alignment horizontal="left"/>
    </xf>
    <xf numFmtId="10" fontId="12" fillId="0" borderId="0" xfId="0" applyNumberFormat="1" applyFont="1" applyFill="1" applyBorder="1" applyAlignment="1" applyProtection="1">
      <alignment horizontal="center"/>
    </xf>
    <xf numFmtId="0" fontId="0" fillId="0" borderId="0" xfId="0" applyFill="1" applyAlignment="1" applyProtection="1">
      <alignment horizontal="center"/>
      <protection hidden="1"/>
    </xf>
    <xf numFmtId="0" fontId="0" fillId="0" borderId="0" xfId="0" applyFill="1" applyBorder="1" applyAlignment="1" applyProtection="1">
      <alignment horizontal="left"/>
    </xf>
    <xf numFmtId="0" fontId="0" fillId="0" borderId="21" xfId="0" applyBorder="1" applyAlignment="1"/>
    <xf numFmtId="0" fontId="12" fillId="0" borderId="0" xfId="0" applyNumberFormat="1" applyFont="1" applyFill="1" applyAlignment="1" applyProtection="1">
      <alignment horizontal="center"/>
    </xf>
    <xf numFmtId="0" fontId="19" fillId="0" borderId="0" xfId="0" applyFont="1" applyFill="1"/>
    <xf numFmtId="0" fontId="19" fillId="0" borderId="0" xfId="0" applyFont="1" applyFill="1" applyProtection="1"/>
    <xf numFmtId="2" fontId="0" fillId="24" borderId="10" xfId="0" applyNumberFormat="1" applyFill="1" applyBorder="1" applyAlignment="1" applyProtection="1">
      <alignment horizontal="center"/>
    </xf>
    <xf numFmtId="0" fontId="11" fillId="0" borderId="0" xfId="35" applyFill="1" applyAlignment="1" applyProtection="1"/>
    <xf numFmtId="0" fontId="21" fillId="0" borderId="0" xfId="35" applyFont="1" applyFill="1" applyAlignment="1" applyProtection="1"/>
    <xf numFmtId="0" fontId="0" fillId="0" borderId="0" xfId="0" applyFill="1" applyAlignment="1" applyProtection="1">
      <alignment wrapText="1"/>
    </xf>
    <xf numFmtId="0" fontId="2" fillId="0" borderId="0" xfId="0" applyFont="1" applyFill="1" applyAlignment="1" applyProtection="1">
      <alignment horizontal="left" wrapText="1"/>
    </xf>
    <xf numFmtId="0" fontId="4" fillId="0" borderId="0" xfId="0" applyFont="1" applyFill="1" applyAlignment="1" applyProtection="1"/>
    <xf numFmtId="0" fontId="4" fillId="0" borderId="0" xfId="0" applyFont="1" applyFill="1" applyAlignment="1" applyProtection="1">
      <alignment horizontal="center"/>
    </xf>
    <xf numFmtId="10" fontId="12" fillId="0" borderId="0" xfId="0" applyNumberFormat="1" applyFont="1" applyAlignment="1">
      <alignment horizontal="center"/>
    </xf>
    <xf numFmtId="10" fontId="12" fillId="0" borderId="0" xfId="0" applyNumberFormat="1" applyFont="1" applyFill="1" applyBorder="1" applyAlignment="1" applyProtection="1">
      <alignment horizontal="left"/>
    </xf>
    <xf numFmtId="10" fontId="12" fillId="0" borderId="0" xfId="0" applyNumberFormat="1" applyFont="1" applyAlignment="1">
      <alignment horizontal="left"/>
    </xf>
    <xf numFmtId="0" fontId="12" fillId="0" borderId="0" xfId="0" applyFont="1" applyAlignment="1"/>
    <xf numFmtId="2" fontId="2" fillId="0" borderId="0" xfId="0" applyNumberFormat="1" applyFont="1" applyFill="1" applyAlignment="1" applyProtection="1">
      <alignment horizontal="center"/>
    </xf>
    <xf numFmtId="0" fontId="2" fillId="0" borderId="0" xfId="0" applyFont="1" applyFill="1" applyAlignment="1" applyProtection="1"/>
    <xf numFmtId="0" fontId="0" fillId="0" borderId="0" xfId="0" applyFill="1" applyAlignment="1" applyProtection="1"/>
    <xf numFmtId="10" fontId="12" fillId="25" borderId="0" xfId="0" applyNumberFormat="1" applyFont="1" applyFill="1" applyBorder="1" applyAlignment="1" applyProtection="1">
      <alignment horizontal="center"/>
      <protection locked="0"/>
    </xf>
    <xf numFmtId="10" fontId="12" fillId="25" borderId="0" xfId="0" applyNumberFormat="1" applyFont="1" applyFill="1" applyAlignment="1" applyProtection="1">
      <alignment horizontal="center"/>
      <protection locked="0"/>
    </xf>
    <xf numFmtId="10" fontId="0" fillId="24" borderId="10" xfId="0" applyNumberFormat="1" applyFill="1" applyBorder="1" applyAlignment="1" applyProtection="1">
      <alignment horizontal="center"/>
      <protection locked="0"/>
    </xf>
    <xf numFmtId="0" fontId="11" fillId="0" borderId="0" xfId="35" applyAlignment="1" applyProtection="1"/>
    <xf numFmtId="0" fontId="2" fillId="0" borderId="20" xfId="0" applyFont="1" applyBorder="1" applyAlignment="1">
      <alignment horizontal="center" vertical="center" wrapText="1"/>
    </xf>
    <xf numFmtId="0" fontId="4" fillId="0" borderId="20" xfId="0" applyFont="1" applyBorder="1" applyAlignment="1">
      <alignment horizontal="left" vertical="center" wrapText="1"/>
    </xf>
    <xf numFmtId="0" fontId="4" fillId="0" borderId="0" xfId="0" applyFont="1" applyAlignment="1">
      <alignment horizontal="center"/>
    </xf>
    <xf numFmtId="0" fontId="0" fillId="0" borderId="0" xfId="0" applyBorder="1" applyAlignment="1"/>
    <xf numFmtId="44" fontId="0" fillId="0" borderId="14" xfId="28" applyFont="1" applyFill="1" applyBorder="1" applyAlignment="1">
      <alignment horizontal="right"/>
    </xf>
    <xf numFmtId="44" fontId="0" fillId="0" borderId="13" xfId="28" applyFont="1" applyFill="1" applyBorder="1" applyAlignment="1">
      <alignment horizontal="right"/>
    </xf>
    <xf numFmtId="0" fontId="12" fillId="0" borderId="0" xfId="0" applyFont="1" applyAlignment="1">
      <alignment horizontal="center"/>
    </xf>
    <xf numFmtId="44" fontId="7" fillId="0" borderId="11" xfId="28" applyNumberFormat="1" applyFont="1" applyFill="1" applyBorder="1" applyAlignment="1">
      <alignment horizontal="right"/>
    </xf>
    <xf numFmtId="44" fontId="8" fillId="0" borderId="11" xfId="28" applyFont="1" applyFill="1" applyBorder="1" applyAlignment="1">
      <alignment horizontal="right"/>
    </xf>
    <xf numFmtId="0" fontId="0" fillId="0" borderId="0" xfId="0" applyAlignment="1">
      <alignment wrapText="1"/>
    </xf>
    <xf numFmtId="0" fontId="2" fillId="0" borderId="0" xfId="0" applyFont="1" applyFill="1" applyAlignment="1" applyProtection="1">
      <alignment wrapText="1"/>
    </xf>
    <xf numFmtId="0" fontId="2" fillId="0" borderId="0" xfId="0" applyFont="1" applyAlignment="1">
      <alignment wrapText="1"/>
    </xf>
    <xf numFmtId="0" fontId="11" fillId="0" borderId="0" xfId="35" applyFill="1" applyBorder="1" applyAlignment="1" applyProtection="1">
      <alignment horizontal="center"/>
    </xf>
    <xf numFmtId="0" fontId="45" fillId="0" borderId="0" xfId="0" applyFont="1" applyFill="1" applyAlignment="1" applyProtection="1">
      <alignment horizontal="center"/>
    </xf>
    <xf numFmtId="0" fontId="2" fillId="0" borderId="0" xfId="0" applyFont="1" applyFill="1" applyBorder="1" applyAlignment="1" applyProtection="1">
      <alignment horizontal="center"/>
    </xf>
    <xf numFmtId="0" fontId="15" fillId="0" borderId="0" xfId="0" applyFont="1" applyFill="1" applyBorder="1" applyAlignment="1" applyProtection="1">
      <alignment horizontal="center"/>
    </xf>
    <xf numFmtId="164" fontId="4" fillId="24" borderId="0" xfId="0" applyNumberFormat="1" applyFont="1" applyFill="1" applyAlignment="1" applyProtection="1">
      <alignment horizontal="center"/>
      <protection locked="0"/>
    </xf>
    <xf numFmtId="0" fontId="4" fillId="0" borderId="0" xfId="0" applyFont="1" applyFill="1" applyBorder="1" applyProtection="1"/>
    <xf numFmtId="0" fontId="11" fillId="0" borderId="0" xfId="35" applyFill="1" applyBorder="1" applyAlignment="1" applyProtection="1"/>
    <xf numFmtId="0" fontId="8" fillId="0" borderId="0" xfId="0" applyFont="1" applyFill="1" applyBorder="1" applyProtection="1"/>
    <xf numFmtId="10" fontId="4" fillId="0" borderId="0" xfId="41" applyNumberFormat="1" applyFont="1" applyFill="1" applyBorder="1" applyAlignment="1" applyProtection="1">
      <alignment horizontal="center"/>
    </xf>
    <xf numFmtId="0" fontId="2" fillId="0" borderId="14" xfId="0" applyFont="1" applyFill="1" applyBorder="1" applyAlignment="1" applyProtection="1">
      <alignment horizontal="center"/>
    </xf>
    <xf numFmtId="0" fontId="2" fillId="0" borderId="13" xfId="0" applyFont="1" applyFill="1" applyBorder="1" applyAlignment="1" applyProtection="1">
      <alignment horizontal="center"/>
    </xf>
    <xf numFmtId="0" fontId="0" fillId="0" borderId="22" xfId="0" applyFill="1" applyBorder="1" applyProtection="1"/>
    <xf numFmtId="44" fontId="4" fillId="0" borderId="14" xfId="28" applyFont="1" applyFill="1" applyBorder="1" applyAlignment="1" applyProtection="1">
      <alignment horizontal="center"/>
    </xf>
    <xf numFmtId="0" fontId="0" fillId="0" borderId="13" xfId="0" applyFill="1" applyBorder="1" applyProtection="1"/>
    <xf numFmtId="0" fontId="0" fillId="0" borderId="15" xfId="0" applyFill="1" applyBorder="1" applyProtection="1"/>
    <xf numFmtId="44" fontId="5" fillId="0" borderId="13" xfId="28" applyNumberFormat="1" applyFont="1" applyFill="1" applyBorder="1" applyAlignment="1" applyProtection="1">
      <alignment horizontal="right"/>
    </xf>
    <xf numFmtId="0" fontId="4" fillId="0" borderId="13" xfId="0" applyFont="1" applyFill="1" applyBorder="1" applyProtection="1"/>
    <xf numFmtId="44" fontId="0" fillId="0" borderId="13" xfId="28" applyFont="1" applyFill="1" applyBorder="1" applyAlignment="1" applyProtection="1">
      <alignment horizontal="right"/>
    </xf>
    <xf numFmtId="44" fontId="4" fillId="0" borderId="13" xfId="28" applyFont="1" applyFill="1" applyBorder="1" applyAlignment="1" applyProtection="1">
      <alignment horizontal="right"/>
    </xf>
    <xf numFmtId="0" fontId="2" fillId="0" borderId="15" xfId="0" applyFont="1" applyFill="1" applyBorder="1" applyAlignment="1" applyProtection="1">
      <alignment horizontal="center"/>
    </xf>
    <xf numFmtId="0" fontId="4" fillId="0" borderId="13" xfId="0" applyFont="1" applyFill="1" applyBorder="1" applyAlignment="1" applyProtection="1">
      <alignment horizontal="center"/>
    </xf>
    <xf numFmtId="0" fontId="4" fillId="0" borderId="15" xfId="0" applyFont="1" applyFill="1" applyBorder="1" applyProtection="1"/>
    <xf numFmtId="0" fontId="2" fillId="0" borderId="15" xfId="0" applyFont="1" applyFill="1" applyBorder="1" applyProtection="1"/>
    <xf numFmtId="44" fontId="6" fillId="0" borderId="13" xfId="28" applyNumberFormat="1" applyFont="1" applyFill="1" applyBorder="1" applyAlignment="1" applyProtection="1">
      <alignment horizontal="right"/>
    </xf>
    <xf numFmtId="0" fontId="8" fillId="0" borderId="16" xfId="0" applyFont="1" applyFill="1" applyBorder="1" applyAlignment="1" applyProtection="1">
      <alignment horizontal="right"/>
    </xf>
    <xf numFmtId="0" fontId="8" fillId="0" borderId="16" xfId="0" applyFont="1" applyFill="1" applyBorder="1" applyProtection="1"/>
    <xf numFmtId="44" fontId="7" fillId="0" borderId="11" xfId="28" applyNumberFormat="1" applyFont="1" applyFill="1" applyBorder="1" applyAlignment="1" applyProtection="1">
      <alignment horizontal="right"/>
    </xf>
    <xf numFmtId="0" fontId="2" fillId="0" borderId="13" xfId="0" applyFont="1" applyFill="1" applyBorder="1" applyProtection="1"/>
    <xf numFmtId="44" fontId="8" fillId="0" borderId="11" xfId="28" applyFont="1" applyFill="1" applyBorder="1" applyAlignment="1" applyProtection="1">
      <alignment horizontal="right"/>
    </xf>
    <xf numFmtId="0" fontId="22" fillId="0" borderId="0" xfId="0" applyFont="1" applyFill="1" applyProtection="1"/>
    <xf numFmtId="0" fontId="4" fillId="24" borderId="0" xfId="0" applyFont="1" applyFill="1" applyAlignment="1" applyProtection="1">
      <alignment horizontal="center"/>
      <protection locked="0"/>
    </xf>
    <xf numFmtId="0" fontId="2" fillId="0" borderId="23" xfId="0" applyFont="1" applyBorder="1" applyAlignment="1">
      <alignment horizontal="center" vertical="center" wrapText="1"/>
    </xf>
    <xf numFmtId="10" fontId="0" fillId="0" borderId="24" xfId="0" applyNumberFormat="1" applyBorder="1" applyAlignment="1">
      <alignment horizontal="center" vertical="top" wrapText="1"/>
    </xf>
    <xf numFmtId="0" fontId="2" fillId="0" borderId="10" xfId="0" applyFont="1" applyBorder="1" applyAlignment="1">
      <alignment horizontal="center"/>
    </xf>
    <xf numFmtId="1" fontId="4" fillId="0" borderId="0" xfId="0" applyNumberFormat="1" applyFont="1" applyFill="1" applyBorder="1" applyAlignment="1" applyProtection="1">
      <alignment horizontal="center"/>
      <protection locked="0"/>
    </xf>
    <xf numFmtId="2" fontId="0" fillId="0" borderId="0" xfId="0" applyNumberFormat="1" applyFill="1" applyBorder="1" applyAlignment="1" applyProtection="1">
      <alignment horizontal="center"/>
    </xf>
    <xf numFmtId="0" fontId="15" fillId="0" borderId="0" xfId="0" applyFont="1" applyFill="1" applyAlignment="1" applyProtection="1">
      <alignment horizontal="center" wrapText="1"/>
    </xf>
    <xf numFmtId="0" fontId="4" fillId="0" borderId="0" xfId="0" applyFont="1" applyFill="1" applyAlignment="1" applyProtection="1">
      <alignment horizontal="center"/>
    </xf>
    <xf numFmtId="0" fontId="0" fillId="0" borderId="0" xfId="0" applyAlignment="1">
      <alignment horizontal="center"/>
    </xf>
    <xf numFmtId="0" fontId="2" fillId="0" borderId="0" xfId="0" applyFont="1" applyAlignment="1">
      <alignment horizontal="left" wrapText="1"/>
    </xf>
    <xf numFmtId="0" fontId="0" fillId="0" borderId="0" xfId="0" applyAlignment="1">
      <alignment wrapText="1"/>
    </xf>
    <xf numFmtId="0" fontId="2" fillId="0" borderId="0" xfId="0" applyFont="1" applyFill="1" applyAlignment="1" applyProtection="1">
      <alignment horizontal="left" wrapText="1"/>
    </xf>
    <xf numFmtId="0" fontId="12" fillId="24" borderId="0" xfId="0" applyFont="1" applyFill="1" applyBorder="1" applyAlignment="1" applyProtection="1">
      <alignment horizontal="left"/>
      <protection locked="0"/>
    </xf>
    <xf numFmtId="0" fontId="4" fillId="0" borderId="0" xfId="0" applyFont="1" applyFill="1" applyAlignment="1" applyProtection="1"/>
    <xf numFmtId="0" fontId="17" fillId="0" borderId="0" xfId="0" applyFont="1" applyFill="1" applyAlignment="1" applyProtection="1">
      <alignment horizontal="left" wrapText="1"/>
    </xf>
    <xf numFmtId="0" fontId="2" fillId="0" borderId="0" xfId="0" applyFont="1" applyFill="1" applyAlignment="1">
      <alignment horizontal="left" wrapText="1"/>
    </xf>
    <xf numFmtId="0" fontId="47" fillId="0" borderId="0" xfId="0" applyFont="1" applyAlignment="1">
      <alignment horizontal="left"/>
    </xf>
    <xf numFmtId="0" fontId="47" fillId="0" borderId="0" xfId="0" applyFont="1" applyFill="1" applyAlignment="1" applyProtection="1">
      <alignment horizontal="right"/>
    </xf>
    <xf numFmtId="0" fontId="49" fillId="0" borderId="0" xfId="0" applyFont="1" applyFill="1" applyAlignment="1" applyProtection="1">
      <alignment horizontal="left" wrapText="1"/>
    </xf>
    <xf numFmtId="0" fontId="11" fillId="0" borderId="0" xfId="35" quotePrefix="1" applyFill="1" applyAlignment="1" applyProtection="1">
      <alignment horizontal="center"/>
    </xf>
    <xf numFmtId="0" fontId="11" fillId="0" borderId="0" xfId="35" applyFill="1" applyAlignment="1" applyProtection="1">
      <alignment horizontal="center"/>
    </xf>
    <xf numFmtId="0" fontId="48" fillId="26" borderId="0" xfId="35" applyFont="1" applyFill="1" applyAlignment="1" applyProtection="1">
      <alignment horizontal="center"/>
    </xf>
    <xf numFmtId="0" fontId="2" fillId="0" borderId="0" xfId="0" applyFont="1" applyFill="1" applyAlignment="1" applyProtection="1">
      <alignment wrapText="1"/>
    </xf>
    <xf numFmtId="0" fontId="19" fillId="0" borderId="0" xfId="0" applyFont="1" applyFill="1" applyAlignment="1" applyProtection="1">
      <alignment wrapText="1"/>
    </xf>
    <xf numFmtId="0" fontId="44" fillId="26" borderId="0" xfId="35" applyFont="1" applyFill="1" applyAlignment="1" applyProtection="1">
      <alignment horizontal="center"/>
    </xf>
    <xf numFmtId="0" fontId="0" fillId="0" borderId="0" xfId="0" applyFill="1" applyAlignment="1" applyProtection="1">
      <alignment wrapText="1"/>
    </xf>
    <xf numFmtId="0" fontId="2" fillId="0" borderId="0" xfId="0" applyFont="1" applyFill="1" applyAlignment="1" applyProtection="1">
      <alignment horizontal="left"/>
    </xf>
    <xf numFmtId="0" fontId="4" fillId="0" borderId="15" xfId="0" applyFont="1" applyBorder="1" applyAlignment="1">
      <alignment horizontal="center" wrapText="1"/>
    </xf>
    <xf numFmtId="0" fontId="4" fillId="0" borderId="0" xfId="0" applyFont="1" applyBorder="1" applyAlignment="1">
      <alignment horizontal="center"/>
    </xf>
    <xf numFmtId="0" fontId="4" fillId="0" borderId="17" xfId="0" applyFont="1" applyBorder="1" applyAlignment="1">
      <alignment horizontal="center" wrapText="1"/>
    </xf>
    <xf numFmtId="0" fontId="4" fillId="0" borderId="18" xfId="0" applyFont="1" applyBorder="1" applyAlignment="1">
      <alignment horizontal="center"/>
    </xf>
    <xf numFmtId="0" fontId="4" fillId="0" borderId="19" xfId="0" applyFont="1" applyBorder="1" applyAlignment="1">
      <alignment horizontal="center"/>
    </xf>
    <xf numFmtId="0" fontId="45" fillId="0" borderId="0" xfId="0" applyFont="1" applyFill="1" applyAlignment="1" applyProtection="1">
      <alignment horizontal="center"/>
    </xf>
    <xf numFmtId="0" fontId="2" fillId="0" borderId="0" xfId="0" applyFont="1" applyFill="1" applyBorder="1" applyAlignment="1" applyProtection="1">
      <alignment horizontal="center"/>
    </xf>
    <xf numFmtId="0" fontId="15" fillId="0" borderId="0" xfId="0" applyFont="1" applyFill="1" applyBorder="1" applyAlignment="1" applyProtection="1">
      <alignment horizontal="center"/>
    </xf>
    <xf numFmtId="0" fontId="46" fillId="0" borderId="0" xfId="0" applyFont="1" applyFill="1" applyBorder="1" applyAlignment="1" applyProtection="1">
      <alignment horizontal="center"/>
    </xf>
    <xf numFmtId="0" fontId="14" fillId="0" borderId="0" xfId="0" applyFont="1" applyFill="1" applyAlignment="1">
      <alignment horizontal="center"/>
    </xf>
    <xf numFmtId="0" fontId="11" fillId="0" borderId="0" xfId="35" applyFill="1" applyBorder="1" applyAlignment="1" applyProtection="1">
      <alignment horizontal="center"/>
    </xf>
    <xf numFmtId="0" fontId="4" fillId="0" borderId="0" xfId="0" applyNumberFormat="1" applyFont="1" applyFill="1" applyBorder="1" applyAlignment="1" applyProtection="1">
      <alignment horizontal="left" wrapText="1"/>
    </xf>
    <xf numFmtId="0" fontId="19" fillId="0" borderId="0" xfId="0" applyFont="1" applyFill="1" applyBorder="1" applyAlignment="1">
      <alignment horizontal="center"/>
    </xf>
    <xf numFmtId="0" fontId="11" fillId="0" borderId="21" xfId="35" applyFill="1" applyBorder="1" applyAlignment="1" applyProtection="1">
      <alignment horizontal="center"/>
    </xf>
    <xf numFmtId="9" fontId="4" fillId="0" borderId="10" xfId="41" applyFont="1" applyFill="1" applyBorder="1" applyAlignment="1">
      <alignment horizontal="center" wrapText="1"/>
    </xf>
    <xf numFmtId="9" fontId="4" fillId="0" borderId="10" xfId="41" applyFont="1" applyFill="1" applyBorder="1"/>
    <xf numFmtId="0" fontId="16" fillId="0" borderId="0" xfId="0" applyFont="1" applyFill="1" applyAlignment="1">
      <alignment horizontal="center"/>
    </xf>
    <xf numFmtId="0" fontId="43" fillId="0" borderId="0" xfId="35" applyFont="1" applyAlignment="1" applyProtection="1">
      <alignment horizontal="center"/>
    </xf>
    <xf numFmtId="0" fontId="11" fillId="0" borderId="0" xfId="35" applyAlignment="1" applyProtection="1">
      <alignment horizontal="center"/>
    </xf>
  </cellXfs>
  <cellStyles count="4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urrency" xfId="28" builtinId="4"/>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35" builtinId="8"/>
    <cellStyle name="Input" xfId="36" builtinId="20" customBuiltin="1"/>
    <cellStyle name="Linked Cell" xfId="37" builtinId="24" customBuiltin="1"/>
    <cellStyle name="Neutral" xfId="38" builtinId="28" customBuiltin="1"/>
    <cellStyle name="Normal" xfId="0" builtinId="0"/>
    <cellStyle name="Note" xfId="39" builtinId="10" customBuiltin="1"/>
    <cellStyle name="Output" xfId="40" builtinId="21" customBuiltin="1"/>
    <cellStyle name="Percent" xfId="41" builtinId="5"/>
    <cellStyle name="Title" xfId="42" builtinId="15" customBuiltin="1"/>
    <cellStyle name="Total" xfId="43" builtinId="25" customBuiltin="1"/>
    <cellStyle name="Warning Text" xfId="44"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3" Type="http://schemas.openxmlformats.org/officeDocument/2006/relationships/hyperlink" Target="#'Shift Firefighters'!G5"/><Relationship Id="rId2" Type="http://schemas.openxmlformats.org/officeDocument/2006/relationships/image" Target="../media/image6.png"/><Relationship Id="rId1" Type="http://schemas.openxmlformats.org/officeDocument/2006/relationships/hyperlink" Target="#'Chief, Training, Inspectors'!G5"/><Relationship Id="rId4" Type="http://schemas.openxmlformats.org/officeDocument/2006/relationships/image" Target="../media/image7.jpeg"/></Relationships>
</file>

<file path=xl/drawings/drawing1.xml><?xml version="1.0" encoding="utf-8"?>
<xdr:wsDr xmlns:xdr="http://schemas.openxmlformats.org/drawingml/2006/spreadsheetDrawing" xmlns:a="http://schemas.openxmlformats.org/drawingml/2006/main">
  <xdr:twoCellAnchor editAs="oneCell">
    <xdr:from>
      <xdr:col>3</xdr:col>
      <xdr:colOff>428625</xdr:colOff>
      <xdr:row>3</xdr:row>
      <xdr:rowOff>19050</xdr:rowOff>
    </xdr:from>
    <xdr:to>
      <xdr:col>9</xdr:col>
      <xdr:colOff>38100</xdr:colOff>
      <xdr:row>15</xdr:row>
      <xdr:rowOff>133350</xdr:rowOff>
    </xdr:to>
    <xdr:pic>
      <xdr:nvPicPr>
        <xdr:cNvPr id="1079" name="Picture 1" descr="Retire.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57425" y="809625"/>
          <a:ext cx="3267075" cy="2057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409575</xdr:colOff>
      <xdr:row>0</xdr:row>
      <xdr:rowOff>57150</xdr:rowOff>
    </xdr:from>
    <xdr:to>
      <xdr:col>13</xdr:col>
      <xdr:colOff>190500</xdr:colOff>
      <xdr:row>18</xdr:row>
      <xdr:rowOff>66675</xdr:rowOff>
    </xdr:to>
    <xdr:pic>
      <xdr:nvPicPr>
        <xdr:cNvPr id="9221" name="Picture 3">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895975" y="57150"/>
          <a:ext cx="2219325" cy="292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190500</xdr:colOff>
      <xdr:row>1</xdr:row>
      <xdr:rowOff>104775</xdr:rowOff>
    </xdr:from>
    <xdr:to>
      <xdr:col>7</xdr:col>
      <xdr:colOff>438150</xdr:colOff>
      <xdr:row>17</xdr:row>
      <xdr:rowOff>19050</xdr:rowOff>
    </xdr:to>
    <xdr:pic>
      <xdr:nvPicPr>
        <xdr:cNvPr id="9222" name="Picture 4">
          <a:hlinkClick xmlns:r="http://schemas.openxmlformats.org/officeDocument/2006/relationships" r:id="rId3"/>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800100" y="266700"/>
          <a:ext cx="3905250" cy="2505075"/>
        </a:xfrm>
        <a:prstGeom prst="rect">
          <a:avLst/>
        </a:prstGeom>
        <a:noFill/>
        <a:ln w="9525">
          <a:solidFill>
            <a:srgbClr val="4F81BD"/>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nthony%20J.%20Fanchi/AppData/Local/Microsoft/Windows/Temporary%20Internet%20Files/Low/Content.IE5/7800UVKW/NSPS%20Draf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anthony.fanchi/Local%20Settings/Temporary%20Internet%20Files/OLK5D/2008%20Pay%20Program%20-%20Draf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y Calculator"/>
      <sheetName val="Data"/>
    </sheetNames>
    <sheetDataSet>
      <sheetData sheetId="0"/>
      <sheetData sheetId="1">
        <row r="2">
          <cell r="A2" t="str">
            <v>Shift</v>
          </cell>
        </row>
        <row r="3">
          <cell r="A3" t="str">
            <v>One night a week</v>
          </cell>
        </row>
        <row r="6">
          <cell r="A6">
            <v>72</v>
          </cell>
        </row>
        <row r="7">
          <cell r="A7">
            <v>60</v>
          </cell>
        </row>
        <row r="8">
          <cell r="A8">
            <v>56</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Page"/>
      <sheetName val="Previous GS Pay"/>
      <sheetName val="GS Pay Calculator"/>
      <sheetName val="GS Pay - No Locality"/>
      <sheetName val="Previous Locality Rates"/>
      <sheetName val="Locality Rates"/>
      <sheetName val="Special Rates"/>
      <sheetName val="GS Pay Scale"/>
      <sheetName val="Shift Firefighters"/>
      <sheetName val="Fire Chiefs, Fire Inspectors"/>
    </sheetNames>
    <sheetDataSet>
      <sheetData sheetId="0" refreshError="1"/>
      <sheetData sheetId="1" refreshError="1"/>
      <sheetData sheetId="2" refreshError="1"/>
      <sheetData sheetId="3" refreshError="1"/>
      <sheetData sheetId="4" refreshError="1"/>
      <sheetData sheetId="5">
        <row r="2">
          <cell r="A2" t="str">
            <v>Basic Pay (No Locality or COLA)</v>
          </cell>
        </row>
        <row r="3">
          <cell r="A3" t="str">
            <v>Rest of U.S.</v>
          </cell>
        </row>
        <row r="4">
          <cell r="A4" t="str">
            <v>Atlanta-Sandy Springs-Gainesville, GA-AL</v>
          </cell>
        </row>
        <row r="5">
          <cell r="A5" t="str">
            <v>Boston-Worcester-Manchester, MA-NH-ME-RI</v>
          </cell>
        </row>
        <row r="6">
          <cell r="A6" t="str">
            <v>Buffalo-Niagara-Cattaraugus, NY</v>
          </cell>
        </row>
        <row r="7">
          <cell r="A7" t="str">
            <v>Chicago-Naperville-Michigan City, IL-IN-WI</v>
          </cell>
        </row>
        <row r="8">
          <cell r="A8" t="str">
            <v>Cincinnati-Middletown-Wilmington, OH-KY-IN</v>
          </cell>
        </row>
        <row r="9">
          <cell r="A9" t="str">
            <v>Cleveland-Akron-Elyria, OH</v>
          </cell>
        </row>
        <row r="10">
          <cell r="A10" t="str">
            <v>Columbus-Marion-Chillicothe, OH</v>
          </cell>
        </row>
        <row r="11">
          <cell r="A11" t="str">
            <v>Dallas-Fort Worth, TX</v>
          </cell>
        </row>
        <row r="12">
          <cell r="A12" t="str">
            <v>Dayton-Springfield-Greenville, OH</v>
          </cell>
        </row>
        <row r="13">
          <cell r="A13" t="str">
            <v>Denver-Aurora-Boulder, CO</v>
          </cell>
        </row>
        <row r="14">
          <cell r="A14" t="str">
            <v>Detroit-Warren-Flint, MI</v>
          </cell>
        </row>
        <row r="15">
          <cell r="A15" t="str">
            <v>Hartford-West Hartford-Willimantic, CT-MA</v>
          </cell>
        </row>
        <row r="16">
          <cell r="A16" t="str">
            <v>Houston-Baytown-Huntsville, TX</v>
          </cell>
        </row>
        <row r="17">
          <cell r="A17" t="str">
            <v>Huntsville-Decatur, AL</v>
          </cell>
        </row>
        <row r="18">
          <cell r="A18" t="str">
            <v>Indianapolis-Anderson-Columbus, IN</v>
          </cell>
        </row>
        <row r="19">
          <cell r="A19" t="str">
            <v>Los Angeles-Long Beach-Riverside, CA</v>
          </cell>
        </row>
        <row r="20">
          <cell r="A20" t="str">
            <v>Miami-Fort Lauderdale-Miami Beach, FL</v>
          </cell>
        </row>
        <row r="21">
          <cell r="A21" t="str">
            <v>Milwaukee-Racine-Waukesha, WI</v>
          </cell>
        </row>
        <row r="22">
          <cell r="A22" t="str">
            <v>Minneapolis-St. Paul-St. Cloud, MN-WI</v>
          </cell>
        </row>
        <row r="23">
          <cell r="A23" t="str">
            <v>New York-Newark-Bridgeport, NY-NJ-CT-PA</v>
          </cell>
        </row>
        <row r="24">
          <cell r="A24" t="str">
            <v>Philadelphia-Camden-Vineland, PA-NJ-DE-MD</v>
          </cell>
        </row>
        <row r="25">
          <cell r="A25" t="str">
            <v>Phoenix-Mesa-Scottsdale, AZ</v>
          </cell>
        </row>
        <row r="26">
          <cell r="A26" t="str">
            <v>Pittsburgh-New Castle, PA</v>
          </cell>
        </row>
        <row r="27">
          <cell r="A27" t="str">
            <v>Portland-Vancouver-Beaverton, OR-WA</v>
          </cell>
        </row>
        <row r="28">
          <cell r="A28" t="str">
            <v>Raleigh-Durham-Cary, NC</v>
          </cell>
        </row>
        <row r="29">
          <cell r="A29" t="str">
            <v>Richmond, VA</v>
          </cell>
        </row>
        <row r="30">
          <cell r="A30" t="str">
            <v>Sacramento--Arden-Arcade--Truckee, CA-NV</v>
          </cell>
        </row>
        <row r="31">
          <cell r="A31" t="str">
            <v>San Diego-Carlsbad-San Marcos, CA</v>
          </cell>
        </row>
        <row r="32">
          <cell r="A32" t="str">
            <v>San Jose-San Francisco-Oakland, CA</v>
          </cell>
        </row>
        <row r="33">
          <cell r="A33" t="str">
            <v>Seattle-Tacoma-Olympia, WA</v>
          </cell>
        </row>
        <row r="34">
          <cell r="A34" t="str">
            <v>Washington-Baltimore-Northern Virginia, DC-MD-PA-VA-WV</v>
          </cell>
        </row>
        <row r="35">
          <cell r="A35" t="str">
            <v xml:space="preserve">Anchorage </v>
          </cell>
        </row>
        <row r="36">
          <cell r="A36" t="str">
            <v>Fairbanks</v>
          </cell>
        </row>
        <row r="37">
          <cell r="A37" t="str">
            <v>Juneau</v>
          </cell>
        </row>
        <row r="38">
          <cell r="A38" t="str">
            <v>Rest of Alaska</v>
          </cell>
        </row>
        <row r="39">
          <cell r="A39" t="str">
            <v>Honolulu</v>
          </cell>
        </row>
        <row r="40">
          <cell r="A40" t="str">
            <v>Hawaii (County)</v>
          </cell>
        </row>
        <row r="41">
          <cell r="A41" t="str">
            <v>Kauai</v>
          </cell>
        </row>
        <row r="42">
          <cell r="A42" t="str">
            <v>Maui and Kalawao</v>
          </cell>
        </row>
        <row r="43">
          <cell r="A43" t="str">
            <v>Puerto Rico</v>
          </cell>
        </row>
        <row r="44">
          <cell r="A44" t="str">
            <v>U.S. Virgin Islands</v>
          </cell>
        </row>
        <row r="45">
          <cell r="A45" t="str">
            <v>American Samoa</v>
          </cell>
        </row>
        <row r="46">
          <cell r="A46" t="str">
            <v>Johnston and Sand Island</v>
          </cell>
        </row>
        <row r="47">
          <cell r="A47" t="str">
            <v>Midway Islands</v>
          </cell>
        </row>
        <row r="48">
          <cell r="A48" t="str">
            <v>Guam and Northern Mariana Islands</v>
          </cell>
        </row>
        <row r="49">
          <cell r="A49" t="str">
            <v>Wake Island</v>
          </cell>
        </row>
        <row r="50">
          <cell r="A50" t="str">
            <v>Kansas City</v>
          </cell>
        </row>
        <row r="51">
          <cell r="A51" t="str">
            <v>Orlando</v>
          </cell>
        </row>
        <row r="52">
          <cell r="A52" t="str">
            <v>St. Louis</v>
          </cell>
        </row>
      </sheetData>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www.opm.gov/policy-data-oversight/pay-leave/pay-systems/nonforeign-areas/" TargetMode="External"/><Relationship Id="rId7" Type="http://schemas.openxmlformats.org/officeDocument/2006/relationships/drawing" Target="../drawings/drawing1.xml"/><Relationship Id="rId2" Type="http://schemas.openxmlformats.org/officeDocument/2006/relationships/hyperlink" Target="mailto:anthony.j.fanchi.civ@mail.mil" TargetMode="External"/><Relationship Id="rId1" Type="http://schemas.openxmlformats.org/officeDocument/2006/relationships/hyperlink" Target="mailto:anthony.fanchi@robins.af.mil" TargetMode="External"/><Relationship Id="rId6" Type="http://schemas.openxmlformats.org/officeDocument/2006/relationships/printerSettings" Target="../printerSettings/printerSettings1.bin"/><Relationship Id="rId5" Type="http://schemas.openxmlformats.org/officeDocument/2006/relationships/hyperlink" Target="mailto:admin@fedfirepay.com" TargetMode="External"/><Relationship Id="rId10" Type="http://schemas.openxmlformats.org/officeDocument/2006/relationships/comments" Target="../comments1.xml"/><Relationship Id="rId4" Type="http://schemas.openxmlformats.org/officeDocument/2006/relationships/hyperlink" Target="http://www.opm.gov/policy-data-oversight/pay-leave/pay-systems/nonforeign-areas/" TargetMode="External"/><Relationship Id="rId9" Type="http://schemas.openxmlformats.org/officeDocument/2006/relationships/image" Target="../media/image1.png"/></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vmlDrawing" Target="../drawings/vmlDrawing2.v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vmlDrawing" Target="../drawings/vmlDrawing3.v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vmlDrawing" Target="../drawings/vmlDrawing4.vml"/><Relationship Id="rId1" Type="http://schemas.openxmlformats.org/officeDocument/2006/relationships/printerSettings" Target="../printerSettings/printerSettings8.bin"/><Relationship Id="rId4" Type="http://schemas.openxmlformats.org/officeDocument/2006/relationships/comments" Target="../comments4.xml"/></Relationships>
</file>

<file path=xl/worksheets/_rels/sheet9.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73"/>
  <sheetViews>
    <sheetView showGridLines="0" tabSelected="1" zoomScaleNormal="100" workbookViewId="0">
      <selection activeCell="C19" sqref="C19:K19"/>
    </sheetView>
  </sheetViews>
  <sheetFormatPr defaultRowHeight="12.75" x14ac:dyDescent="0.2"/>
  <cols>
    <col min="1" max="12" width="9.140625" style="46"/>
    <col min="13" max="13" width="10.5703125" style="46" customWidth="1"/>
    <col min="14" max="16384" width="9.140625" style="46"/>
  </cols>
  <sheetData>
    <row r="1" spans="1:13" ht="36.75" customHeight="1" x14ac:dyDescent="0.4">
      <c r="A1" s="172">
        <f>'GS Pay Calculator'!B2</f>
        <v>2017</v>
      </c>
      <c r="B1" s="172"/>
      <c r="C1" s="171" t="s">
        <v>78</v>
      </c>
      <c r="D1" s="171"/>
      <c r="E1" s="171"/>
      <c r="F1" s="171"/>
      <c r="G1" s="171"/>
      <c r="H1" s="171"/>
      <c r="I1" s="171"/>
      <c r="J1" s="171"/>
      <c r="K1" s="171"/>
      <c r="L1" s="171"/>
      <c r="M1" s="171"/>
    </row>
    <row r="2" spans="1:13" x14ac:dyDescent="0.2">
      <c r="A2" s="175" t="s">
        <v>62</v>
      </c>
      <c r="B2" s="175"/>
      <c r="C2" s="175"/>
      <c r="D2" s="175"/>
      <c r="E2" s="175"/>
      <c r="F2" s="175"/>
      <c r="G2" s="175"/>
      <c r="H2" s="175"/>
      <c r="I2" s="175"/>
      <c r="J2" s="175"/>
      <c r="K2" s="175"/>
      <c r="L2" s="175"/>
      <c r="M2" s="175"/>
    </row>
    <row r="19" spans="1:13" s="47" customFormat="1" ht="22.5" x14ac:dyDescent="0.3">
      <c r="C19" s="179" t="s">
        <v>85</v>
      </c>
      <c r="D19" s="179"/>
      <c r="E19" s="179"/>
      <c r="F19" s="179"/>
      <c r="G19" s="179"/>
      <c r="H19" s="179"/>
      <c r="I19" s="179"/>
      <c r="J19" s="179"/>
      <c r="K19" s="179"/>
      <c r="L19" s="97"/>
    </row>
    <row r="21" spans="1:13" ht="39" customHeight="1" x14ac:dyDescent="0.2">
      <c r="A21" s="180" t="str">
        <f>"This program is currently set-up for the year "&amp;$C$63&amp;" and covers the "&amp;C46&amp;" locality / COLA area.  It is designed to easily convert to any other locality/COLA, and can estimate annual raises.  The file works with all firefighter schedules covered under the 1998 Pay Reform Act.  The current schedules are "&amp;C31&amp;" hours for shift firefighters and "&amp;C33&amp;" hours for firefighters with an embedded 40 hour workweek."</f>
        <v>This program is currently set-up for the year 2017 and covers the Rest of the United States locality / COLA area.  It is designed to easily convert to any other locality/COLA, and can estimate annual raises.  The file works with all firefighter schedules covered under the 1998 Pay Reform Act.  The current schedules are 72 hours for shift firefighters and 60 hours for firefighters with an embedded 40 hour workweek.</v>
      </c>
      <c r="B21" s="180"/>
      <c r="C21" s="180"/>
      <c r="D21" s="180"/>
      <c r="E21" s="180"/>
      <c r="F21" s="180"/>
      <c r="G21" s="180"/>
      <c r="H21" s="180"/>
      <c r="I21" s="180"/>
      <c r="J21" s="180"/>
      <c r="K21" s="180"/>
      <c r="L21" s="180"/>
      <c r="M21" s="180"/>
    </row>
    <row r="22" spans="1:13" ht="12.75" customHeight="1" x14ac:dyDescent="0.2">
      <c r="A22" s="98"/>
      <c r="B22" s="98"/>
      <c r="C22" s="98"/>
      <c r="D22" s="98"/>
      <c r="E22" s="98"/>
      <c r="F22" s="98"/>
      <c r="G22" s="98"/>
      <c r="H22" s="98"/>
      <c r="I22" s="98"/>
      <c r="J22" s="98"/>
      <c r="K22" s="98"/>
    </row>
    <row r="23" spans="1:13" ht="12.75" customHeight="1" x14ac:dyDescent="0.2">
      <c r="A23" s="177" t="s">
        <v>86</v>
      </c>
      <c r="B23" s="177"/>
      <c r="C23" s="177"/>
      <c r="D23" s="177"/>
      <c r="E23" s="177"/>
      <c r="F23" s="177"/>
      <c r="G23" s="177"/>
      <c r="H23" s="177"/>
      <c r="I23" s="177"/>
      <c r="J23" s="177"/>
      <c r="K23" s="177"/>
      <c r="L23" s="177"/>
      <c r="M23" s="177"/>
    </row>
    <row r="24" spans="1:13" ht="12.75" customHeight="1" x14ac:dyDescent="0.2">
      <c r="A24" s="123"/>
      <c r="B24" s="124"/>
      <c r="C24" s="124"/>
      <c r="D24" s="124"/>
      <c r="E24" s="124"/>
      <c r="F24" s="124"/>
      <c r="G24" s="124"/>
      <c r="H24" s="124"/>
      <c r="I24" s="124"/>
      <c r="J24" s="124"/>
      <c r="K24" s="124"/>
      <c r="L24" s="122"/>
      <c r="M24" s="122"/>
    </row>
    <row r="25" spans="1:13" s="154" customFormat="1" ht="38.25" customHeight="1" x14ac:dyDescent="0.2">
      <c r="A25" s="173" t="s">
        <v>180</v>
      </c>
      <c r="B25" s="173"/>
      <c r="C25" s="173"/>
      <c r="D25" s="173"/>
      <c r="E25" s="173"/>
      <c r="F25" s="173"/>
      <c r="G25" s="173"/>
      <c r="H25" s="173"/>
      <c r="I25" s="173"/>
      <c r="J25" s="173"/>
      <c r="K25" s="173"/>
      <c r="L25" s="173"/>
      <c r="M25" s="173"/>
    </row>
    <row r="27" spans="1:13" ht="14.25" x14ac:dyDescent="0.2">
      <c r="A27" s="174"/>
      <c r="B27" s="175"/>
      <c r="C27" s="175"/>
      <c r="F27" s="176" t="s">
        <v>129</v>
      </c>
      <c r="G27" s="176"/>
      <c r="H27" s="176"/>
    </row>
    <row r="29" spans="1:13" ht="51" customHeight="1" x14ac:dyDescent="0.2">
      <c r="A29" s="177" t="s">
        <v>104</v>
      </c>
      <c r="B29" s="177"/>
      <c r="C29" s="177"/>
      <c r="D29" s="177"/>
      <c r="E29" s="177"/>
      <c r="F29" s="177"/>
      <c r="G29" s="177"/>
      <c r="H29" s="177"/>
      <c r="I29" s="177"/>
      <c r="J29" s="177"/>
      <c r="K29" s="177"/>
      <c r="L29" s="177"/>
      <c r="M29" s="177"/>
    </row>
    <row r="30" spans="1:13" x14ac:dyDescent="0.2">
      <c r="H30" s="49"/>
    </row>
    <row r="31" spans="1:13" x14ac:dyDescent="0.2">
      <c r="A31" s="46" t="s">
        <v>38</v>
      </c>
      <c r="C31" s="59">
        <v>72</v>
      </c>
      <c r="F31" s="50"/>
      <c r="I31" s="51"/>
    </row>
    <row r="33" spans="1:13" x14ac:dyDescent="0.2">
      <c r="A33" s="46" t="s">
        <v>39</v>
      </c>
      <c r="C33" s="59">
        <v>60</v>
      </c>
      <c r="F33" s="50"/>
      <c r="I33" s="51"/>
    </row>
    <row r="34" spans="1:13" x14ac:dyDescent="0.2">
      <c r="C34" s="92"/>
      <c r="F34" s="50"/>
      <c r="I34" s="51"/>
    </row>
    <row r="35" spans="1:13" ht="39" customHeight="1" x14ac:dyDescent="0.2">
      <c r="A35" s="178" t="s">
        <v>134</v>
      </c>
      <c r="B35" s="178"/>
      <c r="C35" s="178"/>
      <c r="D35" s="178"/>
      <c r="E35" s="178"/>
      <c r="F35" s="178"/>
      <c r="G35" s="178"/>
      <c r="H35" s="178"/>
      <c r="I35" s="178"/>
      <c r="J35" s="178"/>
      <c r="K35" s="178"/>
      <c r="L35" s="178"/>
      <c r="M35" s="178"/>
    </row>
    <row r="36" spans="1:13" s="52" customFormat="1" x14ac:dyDescent="0.2">
      <c r="A36" s="47"/>
    </row>
    <row r="37" spans="1:13" s="52" customFormat="1" ht="38.25" customHeight="1" x14ac:dyDescent="0.2">
      <c r="A37" s="177" t="s">
        <v>99</v>
      </c>
      <c r="B37" s="177"/>
      <c r="C37" s="177"/>
      <c r="D37" s="177"/>
      <c r="E37" s="177"/>
      <c r="F37" s="177"/>
      <c r="G37" s="177"/>
      <c r="H37" s="177"/>
      <c r="I37" s="177"/>
      <c r="J37" s="177"/>
      <c r="K37" s="177"/>
      <c r="L37" s="177"/>
      <c r="M37" s="177"/>
    </row>
    <row r="38" spans="1:13" s="52" customFormat="1" x14ac:dyDescent="0.2"/>
    <row r="39" spans="1:13" s="52" customFormat="1" x14ac:dyDescent="0.2">
      <c r="A39" s="181" t="s">
        <v>105</v>
      </c>
      <c r="B39" s="181"/>
      <c r="C39" s="181"/>
      <c r="D39" s="181"/>
      <c r="E39" s="155" t="s">
        <v>107</v>
      </c>
    </row>
    <row r="40" spans="1:13" s="52" customFormat="1" x14ac:dyDescent="0.2"/>
    <row r="41" spans="1:13" ht="38.25" customHeight="1" x14ac:dyDescent="0.2">
      <c r="A41" s="177" t="s">
        <v>133</v>
      </c>
      <c r="B41" s="177"/>
      <c r="C41" s="177"/>
      <c r="D41" s="177"/>
      <c r="E41" s="177"/>
      <c r="F41" s="177"/>
      <c r="G41" s="177"/>
      <c r="H41" s="177"/>
      <c r="I41" s="177"/>
      <c r="J41" s="177"/>
      <c r="K41" s="177"/>
      <c r="L41" s="177"/>
      <c r="M41" s="177"/>
    </row>
    <row r="43" spans="1:13" ht="12.75" customHeight="1" x14ac:dyDescent="0.2">
      <c r="A43" s="166" t="s">
        <v>135</v>
      </c>
      <c r="B43" s="166"/>
      <c r="C43" s="166"/>
      <c r="D43" s="166"/>
      <c r="E43" s="166"/>
      <c r="F43" s="166"/>
      <c r="G43" s="166"/>
      <c r="H43" s="166"/>
      <c r="I43" s="96" t="s">
        <v>80</v>
      </c>
      <c r="K43" s="96" t="s">
        <v>79</v>
      </c>
    </row>
    <row r="44" spans="1:13" ht="12.75" customHeight="1" x14ac:dyDescent="0.2">
      <c r="A44" s="166" t="s">
        <v>112</v>
      </c>
      <c r="B44" s="166"/>
      <c r="C44" s="166"/>
      <c r="D44" s="166"/>
      <c r="E44" s="166"/>
      <c r="F44" s="166"/>
      <c r="G44" s="166"/>
      <c r="H44" s="166"/>
      <c r="I44" s="166"/>
      <c r="J44" s="166"/>
      <c r="K44" s="166"/>
      <c r="L44" s="166"/>
      <c r="M44" s="166"/>
    </row>
    <row r="45" spans="1:13" x14ac:dyDescent="0.2">
      <c r="C45" s="54"/>
    </row>
    <row r="46" spans="1:13" x14ac:dyDescent="0.2">
      <c r="A46" s="52" t="s">
        <v>69</v>
      </c>
      <c r="C46" s="167" t="s">
        <v>87</v>
      </c>
      <c r="D46" s="167"/>
      <c r="E46" s="167"/>
      <c r="F46" s="167"/>
      <c r="G46" s="167"/>
      <c r="H46" s="166" t="s">
        <v>66</v>
      </c>
      <c r="I46" s="166"/>
      <c r="J46" s="166"/>
      <c r="K46" s="166"/>
      <c r="L46" s="165"/>
      <c r="M46" s="165"/>
    </row>
    <row r="47" spans="1:13" x14ac:dyDescent="0.2">
      <c r="C47" s="87"/>
      <c r="D47" s="47"/>
      <c r="E47" s="47"/>
    </row>
    <row r="48" spans="1:13" x14ac:dyDescent="0.2">
      <c r="A48" s="168" t="s">
        <v>88</v>
      </c>
      <c r="B48" s="168"/>
      <c r="C48" s="88">
        <f>IF(C52="",VLOOKUP(C46,'Locality Rates'!A2:B58,2,FALSE),C52)</f>
        <v>0.15060000000000001</v>
      </c>
      <c r="D48" s="162" t="s">
        <v>111</v>
      </c>
      <c r="E48" s="163"/>
      <c r="F48" s="102">
        <f>IF(F52="",IF(E39="Yes",VLOOKUP(C46,'Locality Rates'!A2:C58,3,FALSE),VLOOKUP(C46,'Locality Rates'!A2:F58,5,FALSE)),F52)</f>
        <v>0</v>
      </c>
      <c r="G48" s="164" t="s">
        <v>89</v>
      </c>
      <c r="H48" s="164"/>
      <c r="I48" s="164"/>
      <c r="J48" s="164"/>
      <c r="K48" s="164"/>
      <c r="L48" s="165"/>
      <c r="M48" s="165"/>
    </row>
    <row r="49" spans="1:13" x14ac:dyDescent="0.2">
      <c r="A49" s="100"/>
      <c r="B49" s="100"/>
      <c r="C49" s="103"/>
      <c r="D49" s="101"/>
      <c r="E49" s="45"/>
      <c r="F49" s="104"/>
      <c r="G49" s="105"/>
      <c r="H49" s="106"/>
      <c r="I49" s="107"/>
      <c r="J49" s="108"/>
      <c r="K49" s="108"/>
      <c r="L49" s="108"/>
    </row>
    <row r="50" spans="1:13" ht="12.75" customHeight="1" x14ac:dyDescent="0.2">
      <c r="A50" s="161" t="s">
        <v>90</v>
      </c>
      <c r="B50" s="161"/>
      <c r="C50" s="161"/>
      <c r="D50" s="161"/>
      <c r="E50" s="161"/>
      <c r="F50" s="161"/>
      <c r="G50" s="161"/>
      <c r="H50" s="161"/>
      <c r="I50" s="161"/>
      <c r="J50" s="161"/>
      <c r="K50" s="161"/>
      <c r="L50" s="161"/>
      <c r="M50" s="161"/>
    </row>
    <row r="51" spans="1:13" x14ac:dyDescent="0.2">
      <c r="A51" s="100"/>
      <c r="B51" s="100"/>
      <c r="C51" s="103"/>
      <c r="D51" s="101"/>
      <c r="E51" s="45"/>
      <c r="F51" s="104"/>
      <c r="G51" s="105"/>
      <c r="H51" s="106"/>
      <c r="I51" s="107"/>
      <c r="J51" s="108"/>
      <c r="K51" s="108"/>
      <c r="L51" s="108"/>
    </row>
    <row r="52" spans="1:13" x14ac:dyDescent="0.2">
      <c r="A52" s="168" t="s">
        <v>88</v>
      </c>
      <c r="B52" s="168"/>
      <c r="C52" s="109"/>
      <c r="D52" s="162" t="s">
        <v>111</v>
      </c>
      <c r="E52" s="163"/>
      <c r="F52" s="110"/>
      <c r="G52" s="170" t="s">
        <v>91</v>
      </c>
      <c r="H52" s="170"/>
      <c r="I52" s="170"/>
      <c r="J52" s="170"/>
      <c r="K52" s="170"/>
      <c r="L52" s="165"/>
      <c r="M52" s="165"/>
    </row>
    <row r="53" spans="1:13" x14ac:dyDescent="0.2">
      <c r="A53" s="108"/>
      <c r="B53" s="108"/>
      <c r="C53" s="88"/>
      <c r="D53" s="50"/>
      <c r="E53" s="108"/>
      <c r="F53" s="108"/>
      <c r="G53" s="108"/>
      <c r="H53" s="108"/>
      <c r="I53" s="108"/>
      <c r="J53" s="108"/>
      <c r="K53" s="108"/>
      <c r="L53" s="108"/>
    </row>
    <row r="54" spans="1:13" ht="38.25" customHeight="1" x14ac:dyDescent="0.2">
      <c r="A54" s="166" t="s">
        <v>132</v>
      </c>
      <c r="B54" s="166"/>
      <c r="C54" s="166"/>
      <c r="D54" s="166"/>
      <c r="E54" s="166"/>
      <c r="F54" s="166"/>
      <c r="G54" s="166"/>
      <c r="H54" s="166"/>
      <c r="I54" s="166"/>
      <c r="J54" s="166"/>
      <c r="K54" s="166"/>
      <c r="L54" s="166"/>
      <c r="M54" s="166"/>
    </row>
    <row r="55" spans="1:13" ht="12.75" customHeight="1" x14ac:dyDescent="0.2">
      <c r="A55" s="99"/>
      <c r="B55" s="99"/>
      <c r="C55" s="99"/>
      <c r="D55" s="99"/>
      <c r="E55" s="99"/>
      <c r="F55" s="99"/>
      <c r="G55" s="99"/>
      <c r="H55" s="99"/>
      <c r="I55" s="99"/>
      <c r="J55" s="99"/>
      <c r="K55" s="99"/>
    </row>
    <row r="56" spans="1:13" s="94" customFormat="1" ht="25.5" customHeight="1" x14ac:dyDescent="0.2">
      <c r="A56" s="169" t="str">
        <f>"Enter the raise below for the appropriate year.  This file is initially set-up for the year "&amp;'GS Pay Calculator'!$B$2&amp;".  When raises are entered, the year indicated on the pay charts should match the year of the latest raise."</f>
        <v>Enter the raise below for the appropriate year.  This file is initially set-up for the year 2017.  When raises are entered, the year indicated on the pay charts should match the year of the latest raise.</v>
      </c>
      <c r="B56" s="169"/>
      <c r="C56" s="169"/>
      <c r="D56" s="169"/>
      <c r="E56" s="169"/>
      <c r="F56" s="169"/>
      <c r="G56" s="169"/>
      <c r="H56" s="169"/>
      <c r="I56" s="169"/>
      <c r="J56" s="169"/>
      <c r="K56" s="169"/>
      <c r="L56" s="169"/>
      <c r="M56" s="169"/>
    </row>
    <row r="57" spans="1:13" x14ac:dyDescent="0.2">
      <c r="A57" s="55"/>
    </row>
    <row r="58" spans="1:13" x14ac:dyDescent="0.2">
      <c r="A58" s="56" t="s">
        <v>34</v>
      </c>
      <c r="B58" s="56" t="s">
        <v>45</v>
      </c>
      <c r="C58" s="56" t="s">
        <v>34</v>
      </c>
      <c r="D58" s="56" t="s">
        <v>45</v>
      </c>
      <c r="G58" s="89"/>
      <c r="H58" s="48" t="s">
        <v>77</v>
      </c>
      <c r="I58" s="56" t="s">
        <v>34</v>
      </c>
      <c r="J58" s="56" t="s">
        <v>45</v>
      </c>
    </row>
    <row r="59" spans="1:13" x14ac:dyDescent="0.2">
      <c r="A59" s="57">
        <f>'GS Pay Calculator'!B2+1</f>
        <v>2018</v>
      </c>
      <c r="B59" s="111">
        <v>0</v>
      </c>
      <c r="C59" s="57">
        <f>A59+1</f>
        <v>2019</v>
      </c>
      <c r="D59" s="111">
        <v>0</v>
      </c>
      <c r="F59" s="53"/>
      <c r="I59" s="57">
        <v>2008</v>
      </c>
      <c r="J59" s="95">
        <v>3.5</v>
      </c>
    </row>
    <row r="60" spans="1:13" x14ac:dyDescent="0.2">
      <c r="A60" s="57">
        <f>A59+2</f>
        <v>2020</v>
      </c>
      <c r="B60" s="111">
        <v>0</v>
      </c>
      <c r="C60" s="57">
        <f>C59+2</f>
        <v>2021</v>
      </c>
      <c r="D60" s="111">
        <v>0</v>
      </c>
      <c r="F60" s="53"/>
      <c r="I60" s="57">
        <v>2009</v>
      </c>
      <c r="J60" s="95">
        <v>3.9</v>
      </c>
    </row>
    <row r="61" spans="1:13" x14ac:dyDescent="0.2">
      <c r="A61" s="57">
        <f>A60+2</f>
        <v>2022</v>
      </c>
      <c r="B61" s="111">
        <v>0</v>
      </c>
      <c r="C61" s="57">
        <f>C60+2</f>
        <v>2023</v>
      </c>
      <c r="D61" s="111">
        <v>0</v>
      </c>
      <c r="F61" s="53"/>
      <c r="I61" s="57">
        <v>2010</v>
      </c>
      <c r="J61" s="95">
        <v>2</v>
      </c>
    </row>
    <row r="62" spans="1:13" x14ac:dyDescent="0.2">
      <c r="A62" s="57">
        <f>A61+2</f>
        <v>2024</v>
      </c>
      <c r="B62" s="111">
        <v>0</v>
      </c>
      <c r="C62" s="57">
        <f>C61+2</f>
        <v>2025</v>
      </c>
      <c r="D62" s="111">
        <v>0</v>
      </c>
      <c r="F62" s="53"/>
      <c r="I62" s="57">
        <v>2011</v>
      </c>
      <c r="J62" s="95">
        <v>0</v>
      </c>
    </row>
    <row r="63" spans="1:13" hidden="1" x14ac:dyDescent="0.2">
      <c r="A63" s="90" t="s">
        <v>70</v>
      </c>
      <c r="B63" s="160"/>
      <c r="C63" s="58">
        <f>IF(D62&gt;0,C62,IF(B62&gt;0,A62,IF(D61&gt;0,C61,IF(B61&gt;0,A61,IF(D60&gt;0,C60,IF(B60&gt;0,A60,IF(D59&gt;0,C59,IF(B59&gt;0,A59,'GS Pay Calculator'!B2))))))))</f>
        <v>2017</v>
      </c>
      <c r="D63" s="160"/>
      <c r="F63" s="53"/>
    </row>
    <row r="64" spans="1:13" x14ac:dyDescent="0.2">
      <c r="A64" s="90"/>
      <c r="B64" s="160"/>
      <c r="C64" s="58"/>
      <c r="D64" s="160"/>
      <c r="F64" s="53"/>
    </row>
    <row r="65" spans="1:13" hidden="1" x14ac:dyDescent="0.2">
      <c r="A65" s="52" t="s">
        <v>103</v>
      </c>
      <c r="C65" s="159">
        <v>26</v>
      </c>
      <c r="E65" s="51"/>
      <c r="F65" s="50"/>
    </row>
    <row r="66" spans="1:13" ht="51" customHeight="1" x14ac:dyDescent="0.2">
      <c r="A66" s="166" t="s">
        <v>92</v>
      </c>
      <c r="B66" s="166"/>
      <c r="C66" s="166"/>
      <c r="D66" s="166"/>
      <c r="E66" s="166"/>
      <c r="F66" s="166"/>
      <c r="G66" s="166"/>
      <c r="H66" s="166"/>
      <c r="I66" s="166"/>
      <c r="J66" s="166"/>
      <c r="K66" s="166"/>
      <c r="L66" s="166"/>
      <c r="M66" s="166"/>
    </row>
    <row r="67" spans="1:13" x14ac:dyDescent="0.2">
      <c r="A67" s="52"/>
      <c r="C67" s="54"/>
      <c r="E67" s="51"/>
    </row>
    <row r="68" spans="1:13" ht="63.75" customHeight="1" x14ac:dyDescent="0.2">
      <c r="A68" s="166" t="s">
        <v>131</v>
      </c>
      <c r="B68" s="166"/>
      <c r="C68" s="166"/>
      <c r="D68" s="166"/>
      <c r="E68" s="166"/>
      <c r="F68" s="166"/>
      <c r="G68" s="166"/>
      <c r="H68" s="166"/>
      <c r="I68" s="166"/>
      <c r="J68" s="166"/>
      <c r="K68" s="166"/>
      <c r="L68" s="166"/>
      <c r="M68" s="166"/>
    </row>
    <row r="69" spans="1:13" x14ac:dyDescent="0.2">
      <c r="A69" s="52" t="s">
        <v>19</v>
      </c>
      <c r="C69" s="54"/>
      <c r="E69" s="51"/>
    </row>
    <row r="70" spans="1:13" x14ac:dyDescent="0.2">
      <c r="A70" s="52"/>
      <c r="C70" s="54"/>
      <c r="E70" s="51"/>
    </row>
    <row r="71" spans="1:13" x14ac:dyDescent="0.2">
      <c r="C71" s="54"/>
      <c r="E71" s="51"/>
    </row>
    <row r="72" spans="1:13" x14ac:dyDescent="0.2">
      <c r="A72" s="52"/>
      <c r="C72" s="54"/>
      <c r="E72" s="51"/>
    </row>
    <row r="73" spans="1:13" x14ac:dyDescent="0.2">
      <c r="A73" s="52"/>
    </row>
  </sheetData>
  <sheetProtection password="CCE4" sheet="1" objects="1" scenarios="1"/>
  <mergeCells count="29">
    <mergeCell ref="C1:M1"/>
    <mergeCell ref="A1:B1"/>
    <mergeCell ref="A44:M44"/>
    <mergeCell ref="A25:M25"/>
    <mergeCell ref="A27:C27"/>
    <mergeCell ref="F27:H27"/>
    <mergeCell ref="A29:M29"/>
    <mergeCell ref="A35:M35"/>
    <mergeCell ref="A37:M37"/>
    <mergeCell ref="A41:M41"/>
    <mergeCell ref="A23:M23"/>
    <mergeCell ref="C19:K19"/>
    <mergeCell ref="A21:M21"/>
    <mergeCell ref="A2:M2"/>
    <mergeCell ref="A39:D39"/>
    <mergeCell ref="A68:M68"/>
    <mergeCell ref="A56:M56"/>
    <mergeCell ref="A66:M66"/>
    <mergeCell ref="A52:B52"/>
    <mergeCell ref="A54:M54"/>
    <mergeCell ref="D52:E52"/>
    <mergeCell ref="G52:M52"/>
    <mergeCell ref="A50:M50"/>
    <mergeCell ref="D48:E48"/>
    <mergeCell ref="G48:M48"/>
    <mergeCell ref="A43:H43"/>
    <mergeCell ref="C46:G46"/>
    <mergeCell ref="H46:M46"/>
    <mergeCell ref="A48:B48"/>
  </mergeCells>
  <phoneticPr fontId="0" type="noConversion"/>
  <dataValidations count="6">
    <dataValidation type="decimal" allowBlank="1" showInputMessage="1" showErrorMessage="1" error="Enter a raise between 0 &amp; 20" sqref="B59:B62 D59:D62">
      <formula1>0</formula1>
      <formula2>20</formula2>
    </dataValidation>
    <dataValidation type="decimal" allowBlank="1" showInputMessage="1" showErrorMessage="1" error="Make sure you enter the locality rate as a number between 0 and 50, and don't enter a % sign." sqref="H49 H51">
      <formula1>0</formula1>
      <formula2>50</formula2>
    </dataValidation>
    <dataValidation type="list" allowBlank="1" showInputMessage="1" showErrorMessage="1" sqref="C31">
      <formula1>Shift</formula1>
    </dataValidation>
    <dataValidation type="list" allowBlank="1" showInputMessage="1" showErrorMessage="1" sqref="C33">
      <formula1>Inspectors</formula1>
    </dataValidation>
    <dataValidation type="list" allowBlank="1" showInputMessage="1" showErrorMessage="1" sqref="C46:G46">
      <formula1>Locality</formula1>
    </dataValidation>
    <dataValidation type="list" allowBlank="1" showInputMessage="1" showErrorMessage="1" sqref="E39">
      <formula1>Post</formula1>
    </dataValidation>
  </dataValidations>
  <hyperlinks>
    <hyperlink ref="A2" r:id="rId1"/>
    <hyperlink ref="A2:H2" r:id="rId2" display="Developed by Anthony J. Fanchi"/>
    <hyperlink ref="I43" r:id="rId3" location="url=Overview"/>
    <hyperlink ref="K43" r:id="rId4" location="url=Overview"/>
    <hyperlink ref="C19:K19" location="'.'!H26" display="I don't need to read all this stuff!  Take me to the pay charts!"/>
    <hyperlink ref="F27:H27" location="'Pay Retention &amp; Special Rates'!D3" display="Pay Retention &amp; Special Rates"/>
    <hyperlink ref="A2:M2" r:id="rId5" display="Developed by Anthony J. Fanchi"/>
  </hyperlinks>
  <printOptions horizontalCentered="1"/>
  <pageMargins left="0.75" right="0.75" top="1" bottom="1" header="0.5" footer="0.5"/>
  <pageSetup scale="70" orientation="portrait" horizontalDpi="300" verticalDpi="300" r:id="rId6"/>
  <headerFooter alignWithMargins="0"/>
  <drawing r:id="rId7"/>
  <legacyDrawing r:id="rId8"/>
  <picture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7"/>
  <sheetViews>
    <sheetView showGridLines="0" workbookViewId="0">
      <selection activeCell="B2" sqref="B2"/>
    </sheetView>
  </sheetViews>
  <sheetFormatPr defaultRowHeight="12.75" x14ac:dyDescent="0.2"/>
  <cols>
    <col min="1" max="1" width="9.28515625" style="45" customWidth="1"/>
    <col min="2" max="11" width="9.140625" style="45"/>
  </cols>
  <sheetData>
    <row r="1" spans="1:11" s="1" customFormat="1" ht="12.75" customHeight="1" x14ac:dyDescent="0.2">
      <c r="A1" s="63" t="s">
        <v>27</v>
      </c>
      <c r="B1" s="182"/>
      <c r="C1" s="183"/>
      <c r="D1" s="183"/>
      <c r="E1" s="183"/>
      <c r="F1" s="183"/>
      <c r="G1" s="183"/>
      <c r="H1" s="183"/>
      <c r="I1" s="183"/>
      <c r="J1" s="183"/>
      <c r="K1" s="183"/>
    </row>
    <row r="2" spans="1:11" s="1" customFormat="1" x14ac:dyDescent="0.2">
      <c r="A2" s="3" t="s">
        <v>29</v>
      </c>
      <c r="B2" s="65">
        <v>2017</v>
      </c>
      <c r="C2" s="65" t="s">
        <v>47</v>
      </c>
      <c r="D2" s="65">
        <f>B2+1</f>
        <v>2018</v>
      </c>
      <c r="E2" s="65" t="s">
        <v>47</v>
      </c>
      <c r="F2" s="65">
        <f>D2+1</f>
        <v>2019</v>
      </c>
      <c r="G2" s="65" t="s">
        <v>47</v>
      </c>
      <c r="H2" s="65">
        <f>F2+1</f>
        <v>2020</v>
      </c>
      <c r="I2" s="66" t="s">
        <v>47</v>
      </c>
      <c r="J2" s="65">
        <f>H2+1</f>
        <v>2021</v>
      </c>
      <c r="K2" s="65" t="s">
        <v>47</v>
      </c>
    </row>
    <row r="3" spans="1:11" s="1" customFormat="1" x14ac:dyDescent="0.2">
      <c r="A3" s="67" t="s">
        <v>48</v>
      </c>
      <c r="B3" s="80">
        <v>22727</v>
      </c>
      <c r="C3" s="81">
        <v>758</v>
      </c>
      <c r="D3" s="69">
        <f t="shared" ref="D3:E14" si="0">ROUND(B3+(B3*$K$17),0)</f>
        <v>22727</v>
      </c>
      <c r="E3" s="69">
        <f t="shared" si="0"/>
        <v>758</v>
      </c>
      <c r="F3" s="69">
        <f t="shared" ref="F3:G14" si="1">ROUND(D3+(D3*$K$18),0)</f>
        <v>22727</v>
      </c>
      <c r="G3" s="69">
        <f t="shared" si="1"/>
        <v>758</v>
      </c>
      <c r="H3" s="69">
        <f t="shared" ref="H3:I14" si="2">ROUND(F3+(F3*$K$19),0)</f>
        <v>22727</v>
      </c>
      <c r="I3" s="69">
        <f t="shared" si="2"/>
        <v>758</v>
      </c>
      <c r="J3" s="69">
        <f t="shared" ref="J3:K14" si="3">ROUND(H3+(H3*$K$20),0)</f>
        <v>22727</v>
      </c>
      <c r="K3" s="69">
        <f t="shared" si="3"/>
        <v>758</v>
      </c>
    </row>
    <row r="4" spans="1:11" s="1" customFormat="1" x14ac:dyDescent="0.2">
      <c r="A4" s="70" t="s">
        <v>49</v>
      </c>
      <c r="B4" s="80">
        <v>25514</v>
      </c>
      <c r="C4" s="81">
        <v>850</v>
      </c>
      <c r="D4" s="69">
        <f t="shared" si="0"/>
        <v>25514</v>
      </c>
      <c r="E4" s="69">
        <f t="shared" si="0"/>
        <v>850</v>
      </c>
      <c r="F4" s="69">
        <f t="shared" si="1"/>
        <v>25514</v>
      </c>
      <c r="G4" s="69">
        <f t="shared" si="1"/>
        <v>850</v>
      </c>
      <c r="H4" s="69">
        <f t="shared" si="2"/>
        <v>25514</v>
      </c>
      <c r="I4" s="69">
        <f t="shared" si="2"/>
        <v>850</v>
      </c>
      <c r="J4" s="69">
        <f t="shared" si="3"/>
        <v>25514</v>
      </c>
      <c r="K4" s="69">
        <f t="shared" si="3"/>
        <v>850</v>
      </c>
    </row>
    <row r="5" spans="1:11" s="1" customFormat="1" x14ac:dyDescent="0.2">
      <c r="A5" s="67" t="s">
        <v>50</v>
      </c>
      <c r="B5" s="80">
        <v>28545</v>
      </c>
      <c r="C5" s="81">
        <v>952</v>
      </c>
      <c r="D5" s="69">
        <f t="shared" si="0"/>
        <v>28545</v>
      </c>
      <c r="E5" s="69">
        <f t="shared" si="0"/>
        <v>952</v>
      </c>
      <c r="F5" s="69">
        <f t="shared" si="1"/>
        <v>28545</v>
      </c>
      <c r="G5" s="69">
        <f t="shared" si="1"/>
        <v>952</v>
      </c>
      <c r="H5" s="69">
        <f t="shared" si="2"/>
        <v>28545</v>
      </c>
      <c r="I5" s="69">
        <f t="shared" si="2"/>
        <v>952</v>
      </c>
      <c r="J5" s="69">
        <f t="shared" si="3"/>
        <v>28545</v>
      </c>
      <c r="K5" s="69">
        <f t="shared" si="3"/>
        <v>952</v>
      </c>
    </row>
    <row r="6" spans="1:11" s="1" customFormat="1" x14ac:dyDescent="0.2">
      <c r="A6" s="70" t="s">
        <v>51</v>
      </c>
      <c r="B6" s="80">
        <v>31819</v>
      </c>
      <c r="C6" s="81">
        <v>1061</v>
      </c>
      <c r="D6" s="69">
        <f t="shared" si="0"/>
        <v>31819</v>
      </c>
      <c r="E6" s="69">
        <f t="shared" si="0"/>
        <v>1061</v>
      </c>
      <c r="F6" s="69">
        <f t="shared" si="1"/>
        <v>31819</v>
      </c>
      <c r="G6" s="69">
        <f t="shared" si="1"/>
        <v>1061</v>
      </c>
      <c r="H6" s="69">
        <f t="shared" si="2"/>
        <v>31819</v>
      </c>
      <c r="I6" s="69">
        <f t="shared" si="2"/>
        <v>1061</v>
      </c>
      <c r="J6" s="69">
        <f t="shared" si="3"/>
        <v>31819</v>
      </c>
      <c r="K6" s="69">
        <f t="shared" si="3"/>
        <v>1061</v>
      </c>
    </row>
    <row r="7" spans="1:11" s="1" customFormat="1" x14ac:dyDescent="0.2">
      <c r="A7" s="67" t="s">
        <v>52</v>
      </c>
      <c r="B7" s="80">
        <v>35359</v>
      </c>
      <c r="C7" s="81">
        <v>1179</v>
      </c>
      <c r="D7" s="69">
        <f t="shared" si="0"/>
        <v>35359</v>
      </c>
      <c r="E7" s="69">
        <f t="shared" si="0"/>
        <v>1179</v>
      </c>
      <c r="F7" s="69">
        <f t="shared" si="1"/>
        <v>35359</v>
      </c>
      <c r="G7" s="69">
        <f t="shared" si="1"/>
        <v>1179</v>
      </c>
      <c r="H7" s="69">
        <f t="shared" si="2"/>
        <v>35359</v>
      </c>
      <c r="I7" s="69">
        <f t="shared" si="2"/>
        <v>1179</v>
      </c>
      <c r="J7" s="69">
        <f t="shared" si="3"/>
        <v>35359</v>
      </c>
      <c r="K7" s="69">
        <f t="shared" si="3"/>
        <v>1179</v>
      </c>
    </row>
    <row r="8" spans="1:11" s="1" customFormat="1" x14ac:dyDescent="0.2">
      <c r="A8" s="70" t="s">
        <v>53</v>
      </c>
      <c r="B8" s="80">
        <v>39159</v>
      </c>
      <c r="C8" s="81">
        <v>1305</v>
      </c>
      <c r="D8" s="69">
        <f t="shared" si="0"/>
        <v>39159</v>
      </c>
      <c r="E8" s="69">
        <f t="shared" si="0"/>
        <v>1305</v>
      </c>
      <c r="F8" s="69">
        <f t="shared" si="1"/>
        <v>39159</v>
      </c>
      <c r="G8" s="69">
        <f t="shared" si="1"/>
        <v>1305</v>
      </c>
      <c r="H8" s="69">
        <f t="shared" si="2"/>
        <v>39159</v>
      </c>
      <c r="I8" s="69">
        <f t="shared" si="2"/>
        <v>1305</v>
      </c>
      <c r="J8" s="69">
        <f t="shared" si="3"/>
        <v>39159</v>
      </c>
      <c r="K8" s="69">
        <f t="shared" si="3"/>
        <v>1305</v>
      </c>
    </row>
    <row r="9" spans="1:11" s="1" customFormat="1" x14ac:dyDescent="0.2">
      <c r="A9" s="67" t="s">
        <v>54</v>
      </c>
      <c r="B9" s="80">
        <v>43251</v>
      </c>
      <c r="C9" s="81">
        <v>1442</v>
      </c>
      <c r="D9" s="69">
        <f t="shared" si="0"/>
        <v>43251</v>
      </c>
      <c r="E9" s="69">
        <f t="shared" si="0"/>
        <v>1442</v>
      </c>
      <c r="F9" s="69">
        <f t="shared" si="1"/>
        <v>43251</v>
      </c>
      <c r="G9" s="69">
        <f t="shared" si="1"/>
        <v>1442</v>
      </c>
      <c r="H9" s="69">
        <f t="shared" si="2"/>
        <v>43251</v>
      </c>
      <c r="I9" s="69">
        <f t="shared" si="2"/>
        <v>1442</v>
      </c>
      <c r="J9" s="69">
        <f t="shared" si="3"/>
        <v>43251</v>
      </c>
      <c r="K9" s="69">
        <f t="shared" si="3"/>
        <v>1442</v>
      </c>
    </row>
    <row r="10" spans="1:11" s="1" customFormat="1" x14ac:dyDescent="0.2">
      <c r="A10" s="70" t="s">
        <v>55</v>
      </c>
      <c r="B10" s="80">
        <v>47630</v>
      </c>
      <c r="C10" s="81">
        <v>1588</v>
      </c>
      <c r="D10" s="69">
        <f t="shared" si="0"/>
        <v>47630</v>
      </c>
      <c r="E10" s="69">
        <f t="shared" si="0"/>
        <v>1588</v>
      </c>
      <c r="F10" s="69">
        <f t="shared" si="1"/>
        <v>47630</v>
      </c>
      <c r="G10" s="69">
        <f t="shared" si="1"/>
        <v>1588</v>
      </c>
      <c r="H10" s="69">
        <f t="shared" si="2"/>
        <v>47630</v>
      </c>
      <c r="I10" s="69">
        <f t="shared" si="2"/>
        <v>1588</v>
      </c>
      <c r="J10" s="69">
        <f t="shared" si="3"/>
        <v>47630</v>
      </c>
      <c r="K10" s="69">
        <f t="shared" si="3"/>
        <v>1588</v>
      </c>
    </row>
    <row r="11" spans="1:11" s="1" customFormat="1" x14ac:dyDescent="0.2">
      <c r="A11" s="67" t="s">
        <v>56</v>
      </c>
      <c r="B11" s="80">
        <v>52329</v>
      </c>
      <c r="C11" s="81">
        <v>1744</v>
      </c>
      <c r="D11" s="69">
        <f t="shared" si="0"/>
        <v>52329</v>
      </c>
      <c r="E11" s="69">
        <f t="shared" si="0"/>
        <v>1744</v>
      </c>
      <c r="F11" s="69">
        <f t="shared" si="1"/>
        <v>52329</v>
      </c>
      <c r="G11" s="69">
        <f t="shared" si="1"/>
        <v>1744</v>
      </c>
      <c r="H11" s="69">
        <f t="shared" si="2"/>
        <v>52329</v>
      </c>
      <c r="I11" s="69">
        <f t="shared" si="2"/>
        <v>1744</v>
      </c>
      <c r="J11" s="69">
        <f t="shared" si="3"/>
        <v>52329</v>
      </c>
      <c r="K11" s="69">
        <f t="shared" si="3"/>
        <v>1744</v>
      </c>
    </row>
    <row r="12" spans="1:11" s="1" customFormat="1" x14ac:dyDescent="0.2">
      <c r="A12" s="70" t="s">
        <v>57</v>
      </c>
      <c r="B12" s="80">
        <v>62722</v>
      </c>
      <c r="C12" s="81">
        <v>2091</v>
      </c>
      <c r="D12" s="69">
        <f t="shared" si="0"/>
        <v>62722</v>
      </c>
      <c r="E12" s="69">
        <f t="shared" si="0"/>
        <v>2091</v>
      </c>
      <c r="F12" s="69">
        <f t="shared" si="1"/>
        <v>62722</v>
      </c>
      <c r="G12" s="69">
        <f t="shared" si="1"/>
        <v>2091</v>
      </c>
      <c r="H12" s="69">
        <f t="shared" si="2"/>
        <v>62722</v>
      </c>
      <c r="I12" s="69">
        <f t="shared" si="2"/>
        <v>2091</v>
      </c>
      <c r="J12" s="69">
        <f t="shared" si="3"/>
        <v>62722</v>
      </c>
      <c r="K12" s="69">
        <f t="shared" si="3"/>
        <v>2091</v>
      </c>
    </row>
    <row r="13" spans="1:11" s="1" customFormat="1" x14ac:dyDescent="0.2">
      <c r="A13" s="72" t="s">
        <v>58</v>
      </c>
      <c r="B13" s="80">
        <v>74584</v>
      </c>
      <c r="C13" s="81">
        <v>2486</v>
      </c>
      <c r="D13" s="69">
        <f>ROUND(B13+(B13*$K$17),0)</f>
        <v>74584</v>
      </c>
      <c r="E13" s="69">
        <f>ROUND(C13+(C13*$K$17),0)</f>
        <v>2486</v>
      </c>
      <c r="F13" s="69">
        <f>ROUND(D13+(D13*$K$18),0)</f>
        <v>74584</v>
      </c>
      <c r="G13" s="69">
        <f>ROUND(E13+(E13*$K$18),0)</f>
        <v>2486</v>
      </c>
      <c r="H13" s="69">
        <f>ROUND(F13+(F13*$K$19),0)</f>
        <v>74584</v>
      </c>
      <c r="I13" s="69">
        <f>ROUND(G13+(G13*$K$19),0)</f>
        <v>2486</v>
      </c>
      <c r="J13" s="69">
        <f>ROUND(H13+(H13*$K$20),0)</f>
        <v>74584</v>
      </c>
      <c r="K13" s="69">
        <f>ROUND(I13+(I13*$K$20),0)</f>
        <v>2486</v>
      </c>
    </row>
    <row r="14" spans="1:11" s="1" customFormat="1" x14ac:dyDescent="0.2">
      <c r="A14" s="72" t="s">
        <v>119</v>
      </c>
      <c r="B14" s="80">
        <v>88136</v>
      </c>
      <c r="C14" s="81">
        <v>2938</v>
      </c>
      <c r="D14" s="69">
        <f t="shared" si="0"/>
        <v>88136</v>
      </c>
      <c r="E14" s="69">
        <f t="shared" si="0"/>
        <v>2938</v>
      </c>
      <c r="F14" s="69">
        <f t="shared" si="1"/>
        <v>88136</v>
      </c>
      <c r="G14" s="69">
        <f t="shared" si="1"/>
        <v>2938</v>
      </c>
      <c r="H14" s="69">
        <f t="shared" si="2"/>
        <v>88136</v>
      </c>
      <c r="I14" s="69">
        <f t="shared" si="2"/>
        <v>2938</v>
      </c>
      <c r="J14" s="69">
        <f t="shared" si="3"/>
        <v>88136</v>
      </c>
      <c r="K14" s="69">
        <f t="shared" si="3"/>
        <v>2938</v>
      </c>
    </row>
    <row r="15" spans="1:11" s="1" customFormat="1" x14ac:dyDescent="0.2">
      <c r="A15" s="73"/>
      <c r="B15" s="74"/>
      <c r="C15" s="74"/>
      <c r="D15" s="74"/>
      <c r="E15" s="74"/>
      <c r="F15" s="74"/>
      <c r="G15" s="74"/>
      <c r="H15" s="74"/>
      <c r="I15" s="74"/>
      <c r="J15" s="74"/>
      <c r="K15" s="75"/>
    </row>
    <row r="16" spans="1:11" x14ac:dyDescent="0.2">
      <c r="A16" s="3" t="s">
        <v>29</v>
      </c>
      <c r="B16" s="3">
        <f>J2+1</f>
        <v>2022</v>
      </c>
      <c r="C16" s="3" t="s">
        <v>47</v>
      </c>
      <c r="D16" s="65">
        <f>B16+1</f>
        <v>2023</v>
      </c>
      <c r="E16" s="3" t="s">
        <v>47</v>
      </c>
      <c r="F16" s="65">
        <f>D16+1</f>
        <v>2024</v>
      </c>
      <c r="G16" s="3" t="s">
        <v>47</v>
      </c>
      <c r="H16" s="65">
        <f>F16+1</f>
        <v>2025</v>
      </c>
      <c r="I16" s="3" t="s">
        <v>47</v>
      </c>
      <c r="J16" s="3" t="s">
        <v>59</v>
      </c>
      <c r="K16" s="3" t="s">
        <v>60</v>
      </c>
    </row>
    <row r="17" spans="1:11" x14ac:dyDescent="0.2">
      <c r="A17" s="67" t="s">
        <v>48</v>
      </c>
      <c r="B17" s="69">
        <f t="shared" ref="B17:B28" si="4">ROUND(J3+(J3*$K$21),0)</f>
        <v>22727</v>
      </c>
      <c r="C17" s="69">
        <f t="shared" ref="C17:C28" si="5">ROUND(K3+(K3*$K$21),0)</f>
        <v>758</v>
      </c>
      <c r="D17" s="69">
        <f t="shared" ref="D17:E28" si="6">ROUND(B17+(B17*$K$22),0)</f>
        <v>22727</v>
      </c>
      <c r="E17" s="69">
        <f t="shared" si="6"/>
        <v>758</v>
      </c>
      <c r="F17" s="69">
        <f t="shared" ref="F17:G28" si="7">ROUND(D17+(D17*$K$23),0)</f>
        <v>22727</v>
      </c>
      <c r="G17" s="69">
        <f t="shared" si="7"/>
        <v>758</v>
      </c>
      <c r="H17" s="69">
        <f t="shared" ref="H17:I28" si="8">ROUND(F17+(F17*$K$24),0)</f>
        <v>22727</v>
      </c>
      <c r="I17" s="69">
        <f t="shared" si="8"/>
        <v>758</v>
      </c>
      <c r="J17" s="76">
        <f>B2+1</f>
        <v>2018</v>
      </c>
      <c r="K17" s="77">
        <f>IF('Start Page'!B59="N/A",0,'Start Page'!B59)</f>
        <v>0</v>
      </c>
    </row>
    <row r="18" spans="1:11" x14ac:dyDescent="0.2">
      <c r="A18" s="70" t="s">
        <v>49</v>
      </c>
      <c r="B18" s="69">
        <f t="shared" si="4"/>
        <v>25514</v>
      </c>
      <c r="C18" s="69">
        <f t="shared" si="5"/>
        <v>850</v>
      </c>
      <c r="D18" s="69">
        <f t="shared" si="6"/>
        <v>25514</v>
      </c>
      <c r="E18" s="69">
        <f t="shared" si="6"/>
        <v>850</v>
      </c>
      <c r="F18" s="69">
        <f t="shared" si="7"/>
        <v>25514</v>
      </c>
      <c r="G18" s="69">
        <f t="shared" si="7"/>
        <v>850</v>
      </c>
      <c r="H18" s="69">
        <f t="shared" si="8"/>
        <v>25514</v>
      </c>
      <c r="I18" s="69">
        <f t="shared" si="8"/>
        <v>850</v>
      </c>
      <c r="J18" s="78">
        <f>J17+1</f>
        <v>2019</v>
      </c>
      <c r="K18" s="77">
        <f>IF('Start Page'!D59="N/A",0,'Start Page'!D59)</f>
        <v>0</v>
      </c>
    </row>
    <row r="19" spans="1:11" x14ac:dyDescent="0.2">
      <c r="A19" s="67" t="s">
        <v>50</v>
      </c>
      <c r="B19" s="69">
        <f t="shared" si="4"/>
        <v>28545</v>
      </c>
      <c r="C19" s="69">
        <f t="shared" si="5"/>
        <v>952</v>
      </c>
      <c r="D19" s="69">
        <f t="shared" si="6"/>
        <v>28545</v>
      </c>
      <c r="E19" s="69">
        <f t="shared" si="6"/>
        <v>952</v>
      </c>
      <c r="F19" s="69">
        <f t="shared" si="7"/>
        <v>28545</v>
      </c>
      <c r="G19" s="69">
        <f t="shared" si="7"/>
        <v>952</v>
      </c>
      <c r="H19" s="69">
        <f t="shared" si="8"/>
        <v>28545</v>
      </c>
      <c r="I19" s="69">
        <f t="shared" si="8"/>
        <v>952</v>
      </c>
      <c r="J19" s="78">
        <f t="shared" ref="J19:J24" si="9">J18+1</f>
        <v>2020</v>
      </c>
      <c r="K19" s="77">
        <f>IF('Start Page'!B60="N/A",0,'Start Page'!B60)</f>
        <v>0</v>
      </c>
    </row>
    <row r="20" spans="1:11" x14ac:dyDescent="0.2">
      <c r="A20" s="70" t="s">
        <v>51</v>
      </c>
      <c r="B20" s="69">
        <f t="shared" si="4"/>
        <v>31819</v>
      </c>
      <c r="C20" s="69">
        <f t="shared" si="5"/>
        <v>1061</v>
      </c>
      <c r="D20" s="69">
        <f t="shared" si="6"/>
        <v>31819</v>
      </c>
      <c r="E20" s="69">
        <f t="shared" si="6"/>
        <v>1061</v>
      </c>
      <c r="F20" s="69">
        <f t="shared" si="7"/>
        <v>31819</v>
      </c>
      <c r="G20" s="69">
        <f t="shared" si="7"/>
        <v>1061</v>
      </c>
      <c r="H20" s="69">
        <f t="shared" si="8"/>
        <v>31819</v>
      </c>
      <c r="I20" s="69">
        <f t="shared" si="8"/>
        <v>1061</v>
      </c>
      <c r="J20" s="78">
        <f t="shared" si="9"/>
        <v>2021</v>
      </c>
      <c r="K20" s="77">
        <f>IF('Start Page'!D60="N/A",0,'Start Page'!D60)</f>
        <v>0</v>
      </c>
    </row>
    <row r="21" spans="1:11" x14ac:dyDescent="0.2">
      <c r="A21" s="67" t="s">
        <v>52</v>
      </c>
      <c r="B21" s="69">
        <f t="shared" si="4"/>
        <v>35359</v>
      </c>
      <c r="C21" s="69">
        <f t="shared" si="5"/>
        <v>1179</v>
      </c>
      <c r="D21" s="69">
        <f t="shared" si="6"/>
        <v>35359</v>
      </c>
      <c r="E21" s="69">
        <f t="shared" si="6"/>
        <v>1179</v>
      </c>
      <c r="F21" s="69">
        <f t="shared" si="7"/>
        <v>35359</v>
      </c>
      <c r="G21" s="69">
        <f t="shared" si="7"/>
        <v>1179</v>
      </c>
      <c r="H21" s="69">
        <f t="shared" si="8"/>
        <v>35359</v>
      </c>
      <c r="I21" s="69">
        <f t="shared" si="8"/>
        <v>1179</v>
      </c>
      <c r="J21" s="78">
        <f t="shared" si="9"/>
        <v>2022</v>
      </c>
      <c r="K21" s="77">
        <f>IF('Start Page'!B61="N/A",0,'Start Page'!B61)</f>
        <v>0</v>
      </c>
    </row>
    <row r="22" spans="1:11" x14ac:dyDescent="0.2">
      <c r="A22" s="70" t="s">
        <v>53</v>
      </c>
      <c r="B22" s="69">
        <f t="shared" si="4"/>
        <v>39159</v>
      </c>
      <c r="C22" s="69">
        <f t="shared" si="5"/>
        <v>1305</v>
      </c>
      <c r="D22" s="69">
        <f t="shared" si="6"/>
        <v>39159</v>
      </c>
      <c r="E22" s="69">
        <f t="shared" si="6"/>
        <v>1305</v>
      </c>
      <c r="F22" s="69">
        <f t="shared" si="7"/>
        <v>39159</v>
      </c>
      <c r="G22" s="69">
        <f t="shared" si="7"/>
        <v>1305</v>
      </c>
      <c r="H22" s="69">
        <f t="shared" si="8"/>
        <v>39159</v>
      </c>
      <c r="I22" s="69">
        <f t="shared" si="8"/>
        <v>1305</v>
      </c>
      <c r="J22" s="78">
        <f t="shared" si="9"/>
        <v>2023</v>
      </c>
      <c r="K22" s="77">
        <f>IF('Start Page'!D61="N/A",0,'Start Page'!D61)</f>
        <v>0</v>
      </c>
    </row>
    <row r="23" spans="1:11" x14ac:dyDescent="0.2">
      <c r="A23" s="67" t="s">
        <v>54</v>
      </c>
      <c r="B23" s="69">
        <f t="shared" si="4"/>
        <v>43251</v>
      </c>
      <c r="C23" s="69">
        <f t="shared" si="5"/>
        <v>1442</v>
      </c>
      <c r="D23" s="69">
        <f t="shared" si="6"/>
        <v>43251</v>
      </c>
      <c r="E23" s="69">
        <f t="shared" si="6"/>
        <v>1442</v>
      </c>
      <c r="F23" s="69">
        <f t="shared" si="7"/>
        <v>43251</v>
      </c>
      <c r="G23" s="69">
        <f t="shared" si="7"/>
        <v>1442</v>
      </c>
      <c r="H23" s="69">
        <f t="shared" si="8"/>
        <v>43251</v>
      </c>
      <c r="I23" s="69">
        <f t="shared" si="8"/>
        <v>1442</v>
      </c>
      <c r="J23" s="78">
        <f t="shared" si="9"/>
        <v>2024</v>
      </c>
      <c r="K23" s="77">
        <f>IF('Start Page'!B62="N/A",0,'Start Page'!B62)</f>
        <v>0</v>
      </c>
    </row>
    <row r="24" spans="1:11" x14ac:dyDescent="0.2">
      <c r="A24" s="70" t="s">
        <v>55</v>
      </c>
      <c r="B24" s="69">
        <f t="shared" si="4"/>
        <v>47630</v>
      </c>
      <c r="C24" s="69">
        <f t="shared" si="5"/>
        <v>1588</v>
      </c>
      <c r="D24" s="69">
        <f t="shared" si="6"/>
        <v>47630</v>
      </c>
      <c r="E24" s="69">
        <f t="shared" si="6"/>
        <v>1588</v>
      </c>
      <c r="F24" s="69">
        <f t="shared" si="7"/>
        <v>47630</v>
      </c>
      <c r="G24" s="69">
        <f t="shared" si="7"/>
        <v>1588</v>
      </c>
      <c r="H24" s="69">
        <f t="shared" si="8"/>
        <v>47630</v>
      </c>
      <c r="I24" s="69">
        <f t="shared" si="8"/>
        <v>1588</v>
      </c>
      <c r="J24" s="78">
        <f t="shared" si="9"/>
        <v>2025</v>
      </c>
      <c r="K24" s="77">
        <f>IF('Start Page'!D62="N/A",0,'Start Page'!D62)</f>
        <v>0</v>
      </c>
    </row>
    <row r="25" spans="1:11" x14ac:dyDescent="0.2">
      <c r="A25" s="67" t="s">
        <v>56</v>
      </c>
      <c r="B25" s="69">
        <f t="shared" si="4"/>
        <v>52329</v>
      </c>
      <c r="C25" s="69">
        <f t="shared" si="5"/>
        <v>1744</v>
      </c>
      <c r="D25" s="69">
        <f t="shared" si="6"/>
        <v>52329</v>
      </c>
      <c r="E25" s="69">
        <f t="shared" si="6"/>
        <v>1744</v>
      </c>
      <c r="F25" s="69">
        <f t="shared" si="7"/>
        <v>52329</v>
      </c>
      <c r="G25" s="69">
        <f t="shared" si="7"/>
        <v>1744</v>
      </c>
      <c r="H25" s="69">
        <f t="shared" si="8"/>
        <v>52329</v>
      </c>
      <c r="I25" s="69">
        <f t="shared" si="8"/>
        <v>1744</v>
      </c>
      <c r="J25" s="68"/>
      <c r="K25" s="68"/>
    </row>
    <row r="26" spans="1:11" x14ac:dyDescent="0.2">
      <c r="A26" s="70" t="s">
        <v>57</v>
      </c>
      <c r="B26" s="69">
        <f t="shared" si="4"/>
        <v>62722</v>
      </c>
      <c r="C26" s="69">
        <f t="shared" si="5"/>
        <v>2091</v>
      </c>
      <c r="D26" s="69">
        <f t="shared" si="6"/>
        <v>62722</v>
      </c>
      <c r="E26" s="69">
        <f t="shared" si="6"/>
        <v>2091</v>
      </c>
      <c r="F26" s="69">
        <f t="shared" si="7"/>
        <v>62722</v>
      </c>
      <c r="G26" s="69">
        <f t="shared" si="7"/>
        <v>2091</v>
      </c>
      <c r="H26" s="69">
        <f t="shared" si="8"/>
        <v>62722</v>
      </c>
      <c r="I26" s="69">
        <f t="shared" si="8"/>
        <v>2091</v>
      </c>
      <c r="J26" s="71"/>
      <c r="K26" s="71"/>
    </row>
    <row r="27" spans="1:11" x14ac:dyDescent="0.2">
      <c r="A27" s="67" t="s">
        <v>58</v>
      </c>
      <c r="B27" s="69">
        <f t="shared" si="4"/>
        <v>74584</v>
      </c>
      <c r="C27" s="69">
        <f t="shared" si="5"/>
        <v>2486</v>
      </c>
      <c r="D27" s="69">
        <f>ROUND(B27+(B27*$K$22),0)</f>
        <v>74584</v>
      </c>
      <c r="E27" s="69">
        <f>ROUND(C27+(C27*$K$22),0)</f>
        <v>2486</v>
      </c>
      <c r="F27" s="69">
        <f>ROUND(D27+(D27*$K$23),0)</f>
        <v>74584</v>
      </c>
      <c r="G27" s="69">
        <f>ROUND(E27+(E27*$K$23),0)</f>
        <v>2486</v>
      </c>
      <c r="H27" s="69">
        <f>ROUND(F27+(F27*$K$24),0)</f>
        <v>74584</v>
      </c>
      <c r="I27" s="69">
        <f>ROUND(G27+(G27*$K$24),0)</f>
        <v>2486</v>
      </c>
      <c r="J27" s="71"/>
      <c r="K27" s="71"/>
    </row>
    <row r="28" spans="1:11" x14ac:dyDescent="0.2">
      <c r="A28" s="67" t="s">
        <v>119</v>
      </c>
      <c r="B28" s="69">
        <f t="shared" si="4"/>
        <v>88136</v>
      </c>
      <c r="C28" s="69">
        <f t="shared" si="5"/>
        <v>2938</v>
      </c>
      <c r="D28" s="69">
        <f t="shared" si="6"/>
        <v>88136</v>
      </c>
      <c r="E28" s="69">
        <f t="shared" si="6"/>
        <v>2938</v>
      </c>
      <c r="F28" s="69">
        <f t="shared" si="7"/>
        <v>88136</v>
      </c>
      <c r="G28" s="69">
        <f t="shared" si="7"/>
        <v>2938</v>
      </c>
      <c r="H28" s="69">
        <f t="shared" si="8"/>
        <v>88136</v>
      </c>
      <c r="I28" s="69">
        <f t="shared" si="8"/>
        <v>2938</v>
      </c>
      <c r="J28" s="68"/>
      <c r="K28" s="68"/>
    </row>
    <row r="30" spans="1:11" x14ac:dyDescent="0.2">
      <c r="A30" s="119" t="s">
        <v>40</v>
      </c>
    </row>
    <row r="31" spans="1:11" x14ac:dyDescent="0.2">
      <c r="A31" s="45">
        <v>84</v>
      </c>
    </row>
    <row r="32" spans="1:11" x14ac:dyDescent="0.2">
      <c r="A32" s="45">
        <v>72</v>
      </c>
    </row>
    <row r="33" spans="1:1" x14ac:dyDescent="0.2">
      <c r="A33" s="45">
        <v>60</v>
      </c>
    </row>
    <row r="34" spans="1:1" x14ac:dyDescent="0.2">
      <c r="A34" s="45">
        <v>56</v>
      </c>
    </row>
    <row r="35" spans="1:1" x14ac:dyDescent="0.2">
      <c r="A35" s="119" t="s">
        <v>94</v>
      </c>
    </row>
    <row r="36" spans="1:1" x14ac:dyDescent="0.2">
      <c r="A36" s="115" t="s">
        <v>106</v>
      </c>
    </row>
    <row r="37" spans="1:1" x14ac:dyDescent="0.2">
      <c r="A37" s="115" t="s">
        <v>107</v>
      </c>
    </row>
  </sheetData>
  <sheetProtection password="CCE4" sheet="1" objects="1" scenarios="1"/>
  <mergeCells count="1">
    <mergeCell ref="B1:K1"/>
  </mergeCells>
  <phoneticPr fontId="0" type="noConversion"/>
  <printOptions horizontalCentered="1"/>
  <pageMargins left="0.75" right="0.75" top="1" bottom="1" header="0.5" footer="0.5"/>
  <pageSetup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workbookViewId="0">
      <selection activeCell="A2" sqref="A2"/>
    </sheetView>
  </sheetViews>
  <sheetFormatPr defaultRowHeight="12.75" x14ac:dyDescent="0.2"/>
  <cols>
    <col min="1" max="11" width="9.140625" style="45"/>
  </cols>
  <sheetData>
    <row r="1" spans="1:11" s="1" customFormat="1" x14ac:dyDescent="0.2">
      <c r="A1" s="64"/>
      <c r="B1" s="64"/>
      <c r="C1" s="64"/>
      <c r="D1" s="64"/>
      <c r="E1" s="79" t="s">
        <v>61</v>
      </c>
      <c r="F1" s="64"/>
      <c r="G1" s="64"/>
      <c r="H1" s="6"/>
      <c r="I1" s="64"/>
      <c r="J1" s="64"/>
      <c r="K1" s="64"/>
    </row>
    <row r="2" spans="1:11" s="1" customFormat="1" ht="12.75" customHeight="1" x14ac:dyDescent="0.2">
      <c r="A2" s="2" t="s">
        <v>27</v>
      </c>
      <c r="B2" s="184" t="s">
        <v>28</v>
      </c>
      <c r="C2" s="185"/>
      <c r="D2" s="185"/>
      <c r="E2" s="185"/>
      <c r="F2" s="185"/>
      <c r="G2" s="185"/>
      <c r="H2" s="185"/>
      <c r="I2" s="185"/>
      <c r="J2" s="185"/>
      <c r="K2" s="186"/>
    </row>
    <row r="3" spans="1:11" s="1" customFormat="1" x14ac:dyDescent="0.2">
      <c r="A3" s="3" t="s">
        <v>29</v>
      </c>
      <c r="B3" s="4">
        <v>1</v>
      </c>
      <c r="C3" s="4">
        <v>2</v>
      </c>
      <c r="D3" s="4">
        <v>3</v>
      </c>
      <c r="E3" s="4">
        <v>4</v>
      </c>
      <c r="F3" s="4">
        <v>5</v>
      </c>
      <c r="G3" s="4">
        <v>6</v>
      </c>
      <c r="H3" s="4">
        <v>7</v>
      </c>
      <c r="I3" s="4">
        <v>8</v>
      </c>
      <c r="J3" s="4">
        <v>9</v>
      </c>
      <c r="K3" s="4">
        <v>10</v>
      </c>
    </row>
    <row r="4" spans="1:11" s="1" customFormat="1" x14ac:dyDescent="0.2">
      <c r="A4" s="5">
        <v>3</v>
      </c>
      <c r="B4" s="69">
        <f>'GS Pay Calculator'!H17</f>
        <v>22727</v>
      </c>
      <c r="C4" s="69">
        <f>B4+'GS Pay Calculator'!$I17</f>
        <v>23485</v>
      </c>
      <c r="D4" s="69">
        <f>C4+'GS Pay Calculator'!$I17</f>
        <v>24243</v>
      </c>
      <c r="E4" s="69">
        <f>D4+'GS Pay Calculator'!$I17</f>
        <v>25001</v>
      </c>
      <c r="F4" s="69">
        <f>E4+'GS Pay Calculator'!$I17</f>
        <v>25759</v>
      </c>
      <c r="G4" s="69">
        <f>F4+'GS Pay Calculator'!$I17</f>
        <v>26517</v>
      </c>
      <c r="H4" s="69">
        <f>G4+'GS Pay Calculator'!$I17</f>
        <v>27275</v>
      </c>
      <c r="I4" s="69">
        <f>H4+'GS Pay Calculator'!$I17</f>
        <v>28033</v>
      </c>
      <c r="J4" s="69">
        <f>I4+'GS Pay Calculator'!$I17</f>
        <v>28791</v>
      </c>
      <c r="K4" s="69">
        <f>J4+'GS Pay Calculator'!$I17</f>
        <v>29549</v>
      </c>
    </row>
    <row r="5" spans="1:11" s="1" customFormat="1" x14ac:dyDescent="0.2">
      <c r="A5" s="5">
        <v>4</v>
      </c>
      <c r="B5" s="69">
        <f>'GS Pay Calculator'!H18</f>
        <v>25514</v>
      </c>
      <c r="C5" s="69">
        <f>B5+'GS Pay Calculator'!$I18</f>
        <v>26364</v>
      </c>
      <c r="D5" s="69">
        <f>C5+'GS Pay Calculator'!$I18</f>
        <v>27214</v>
      </c>
      <c r="E5" s="69">
        <f>D5+'GS Pay Calculator'!$I18</f>
        <v>28064</v>
      </c>
      <c r="F5" s="69">
        <f>E5+'GS Pay Calculator'!$I18</f>
        <v>28914</v>
      </c>
      <c r="G5" s="69">
        <f>F5+'GS Pay Calculator'!$I18</f>
        <v>29764</v>
      </c>
      <c r="H5" s="69">
        <f>G5+'GS Pay Calculator'!$I18</f>
        <v>30614</v>
      </c>
      <c r="I5" s="69">
        <f>H5+'GS Pay Calculator'!$I18</f>
        <v>31464</v>
      </c>
      <c r="J5" s="69">
        <f>I5+'GS Pay Calculator'!$I18</f>
        <v>32314</v>
      </c>
      <c r="K5" s="69">
        <f>J5+'GS Pay Calculator'!$I18</f>
        <v>33164</v>
      </c>
    </row>
    <row r="6" spans="1:11" s="1" customFormat="1" x14ac:dyDescent="0.2">
      <c r="A6" s="5">
        <v>5</v>
      </c>
      <c r="B6" s="69">
        <f>'GS Pay Calculator'!H19</f>
        <v>28545</v>
      </c>
      <c r="C6" s="69">
        <f>B6+'GS Pay Calculator'!$I19</f>
        <v>29497</v>
      </c>
      <c r="D6" s="69">
        <f>C6+'GS Pay Calculator'!$I19</f>
        <v>30449</v>
      </c>
      <c r="E6" s="69">
        <f>D6+'GS Pay Calculator'!$I19</f>
        <v>31401</v>
      </c>
      <c r="F6" s="69">
        <f>E6+'GS Pay Calculator'!$I19</f>
        <v>32353</v>
      </c>
      <c r="G6" s="69">
        <f>F6+'GS Pay Calculator'!$I19</f>
        <v>33305</v>
      </c>
      <c r="H6" s="69">
        <f>G6+'GS Pay Calculator'!$I19</f>
        <v>34257</v>
      </c>
      <c r="I6" s="69">
        <f>H6+'GS Pay Calculator'!$I19</f>
        <v>35209</v>
      </c>
      <c r="J6" s="69">
        <f>I6+'GS Pay Calculator'!$I19</f>
        <v>36161</v>
      </c>
      <c r="K6" s="69">
        <f>J6+'GS Pay Calculator'!$I19</f>
        <v>37113</v>
      </c>
    </row>
    <row r="7" spans="1:11" s="1" customFormat="1" x14ac:dyDescent="0.2">
      <c r="A7" s="5">
        <v>6</v>
      </c>
      <c r="B7" s="69">
        <f>'GS Pay Calculator'!H20</f>
        <v>31819</v>
      </c>
      <c r="C7" s="69">
        <f>B7+'GS Pay Calculator'!$I20</f>
        <v>32880</v>
      </c>
      <c r="D7" s="69">
        <f>C7+'GS Pay Calculator'!$I20</f>
        <v>33941</v>
      </c>
      <c r="E7" s="69">
        <f>D7+'GS Pay Calculator'!$I20</f>
        <v>35002</v>
      </c>
      <c r="F7" s="69">
        <f>E7+'GS Pay Calculator'!$I20</f>
        <v>36063</v>
      </c>
      <c r="G7" s="69">
        <f>F7+'GS Pay Calculator'!$I20</f>
        <v>37124</v>
      </c>
      <c r="H7" s="69">
        <f>G7+'GS Pay Calculator'!$I20</f>
        <v>38185</v>
      </c>
      <c r="I7" s="69">
        <f>H7+'GS Pay Calculator'!$I20</f>
        <v>39246</v>
      </c>
      <c r="J7" s="69">
        <f>I7+'GS Pay Calculator'!$I20</f>
        <v>40307</v>
      </c>
      <c r="K7" s="69">
        <f>J7+'GS Pay Calculator'!$I20</f>
        <v>41368</v>
      </c>
    </row>
    <row r="8" spans="1:11" s="1" customFormat="1" x14ac:dyDescent="0.2">
      <c r="A8" s="5">
        <v>7</v>
      </c>
      <c r="B8" s="69">
        <f>'GS Pay Calculator'!H21</f>
        <v>35359</v>
      </c>
      <c r="C8" s="69">
        <f>B8+'GS Pay Calculator'!$I21</f>
        <v>36538</v>
      </c>
      <c r="D8" s="69">
        <f>C8+'GS Pay Calculator'!$I21</f>
        <v>37717</v>
      </c>
      <c r="E8" s="69">
        <f>D8+'GS Pay Calculator'!$I21</f>
        <v>38896</v>
      </c>
      <c r="F8" s="69">
        <f>E8+'GS Pay Calculator'!$I21</f>
        <v>40075</v>
      </c>
      <c r="G8" s="69">
        <f>F8+'GS Pay Calculator'!$I21</f>
        <v>41254</v>
      </c>
      <c r="H8" s="69">
        <f>G8+'GS Pay Calculator'!$I21</f>
        <v>42433</v>
      </c>
      <c r="I8" s="69">
        <f>H8+'GS Pay Calculator'!$I21</f>
        <v>43612</v>
      </c>
      <c r="J8" s="69">
        <f>I8+'GS Pay Calculator'!$I21</f>
        <v>44791</v>
      </c>
      <c r="K8" s="69">
        <f>J8+'GS Pay Calculator'!$I21</f>
        <v>45970</v>
      </c>
    </row>
    <row r="9" spans="1:11" s="1" customFormat="1" x14ac:dyDescent="0.2">
      <c r="A9" s="5">
        <v>8</v>
      </c>
      <c r="B9" s="69">
        <f>'GS Pay Calculator'!H22</f>
        <v>39159</v>
      </c>
      <c r="C9" s="69">
        <f>B9+'GS Pay Calculator'!$I22</f>
        <v>40464</v>
      </c>
      <c r="D9" s="69">
        <f>C9+'GS Pay Calculator'!$I22</f>
        <v>41769</v>
      </c>
      <c r="E9" s="69">
        <f>D9+'GS Pay Calculator'!$I22</f>
        <v>43074</v>
      </c>
      <c r="F9" s="69">
        <f>E9+'GS Pay Calculator'!$I22</f>
        <v>44379</v>
      </c>
      <c r="G9" s="69">
        <f>F9+'GS Pay Calculator'!$I22</f>
        <v>45684</v>
      </c>
      <c r="H9" s="69">
        <f>G9+'GS Pay Calculator'!$I22</f>
        <v>46989</v>
      </c>
      <c r="I9" s="69">
        <f>H9+'GS Pay Calculator'!$I22</f>
        <v>48294</v>
      </c>
      <c r="J9" s="69">
        <f>I9+'GS Pay Calculator'!$I22</f>
        <v>49599</v>
      </c>
      <c r="K9" s="69">
        <f>J9+'GS Pay Calculator'!$I22</f>
        <v>50904</v>
      </c>
    </row>
    <row r="10" spans="1:11" s="1" customFormat="1" x14ac:dyDescent="0.2">
      <c r="A10" s="5">
        <v>9</v>
      </c>
      <c r="B10" s="69">
        <f>'GS Pay Calculator'!H23</f>
        <v>43251</v>
      </c>
      <c r="C10" s="69">
        <f>B10+'GS Pay Calculator'!$I23</f>
        <v>44693</v>
      </c>
      <c r="D10" s="69">
        <f>C10+'GS Pay Calculator'!$I23</f>
        <v>46135</v>
      </c>
      <c r="E10" s="69">
        <f>D10+'GS Pay Calculator'!$I23</f>
        <v>47577</v>
      </c>
      <c r="F10" s="69">
        <f>E10+'GS Pay Calculator'!$I23</f>
        <v>49019</v>
      </c>
      <c r="G10" s="69">
        <f>F10+'GS Pay Calculator'!$I23</f>
        <v>50461</v>
      </c>
      <c r="H10" s="69">
        <f>G10+'GS Pay Calculator'!$I23</f>
        <v>51903</v>
      </c>
      <c r="I10" s="69">
        <f>H10+'GS Pay Calculator'!$I23</f>
        <v>53345</v>
      </c>
      <c r="J10" s="69">
        <f>I10+'GS Pay Calculator'!$I23</f>
        <v>54787</v>
      </c>
      <c r="K10" s="69">
        <f>J10+'GS Pay Calculator'!$I23</f>
        <v>56229</v>
      </c>
    </row>
    <row r="11" spans="1:11" s="1" customFormat="1" x14ac:dyDescent="0.2">
      <c r="A11" s="5">
        <v>10</v>
      </c>
      <c r="B11" s="69">
        <f>'GS Pay Calculator'!H24</f>
        <v>47630</v>
      </c>
      <c r="C11" s="69">
        <f>B11+'GS Pay Calculator'!$I24</f>
        <v>49218</v>
      </c>
      <c r="D11" s="69">
        <f>C11+'GS Pay Calculator'!$I24</f>
        <v>50806</v>
      </c>
      <c r="E11" s="69">
        <f>D11+'GS Pay Calculator'!$I24</f>
        <v>52394</v>
      </c>
      <c r="F11" s="69">
        <f>E11+'GS Pay Calculator'!$I24</f>
        <v>53982</v>
      </c>
      <c r="G11" s="69">
        <f>F11+'GS Pay Calculator'!$I24</f>
        <v>55570</v>
      </c>
      <c r="H11" s="69">
        <f>G11+'GS Pay Calculator'!$I24</f>
        <v>57158</v>
      </c>
      <c r="I11" s="69">
        <f>H11+'GS Pay Calculator'!$I24</f>
        <v>58746</v>
      </c>
      <c r="J11" s="69">
        <f>I11+'GS Pay Calculator'!$I24</f>
        <v>60334</v>
      </c>
      <c r="K11" s="69">
        <f>J11+'GS Pay Calculator'!$I24</f>
        <v>61922</v>
      </c>
    </row>
    <row r="12" spans="1:11" s="1" customFormat="1" x14ac:dyDescent="0.2">
      <c r="A12" s="5">
        <v>11</v>
      </c>
      <c r="B12" s="69">
        <f>'GS Pay Calculator'!H25</f>
        <v>52329</v>
      </c>
      <c r="C12" s="69">
        <f>B12+'GS Pay Calculator'!$I25</f>
        <v>54073</v>
      </c>
      <c r="D12" s="69">
        <f>C12+'GS Pay Calculator'!$I25</f>
        <v>55817</v>
      </c>
      <c r="E12" s="69">
        <f>D12+'GS Pay Calculator'!$I25</f>
        <v>57561</v>
      </c>
      <c r="F12" s="69">
        <f>E12+'GS Pay Calculator'!$I25</f>
        <v>59305</v>
      </c>
      <c r="G12" s="69">
        <f>F12+'GS Pay Calculator'!$I25</f>
        <v>61049</v>
      </c>
      <c r="H12" s="69">
        <f>G12+'GS Pay Calculator'!$I25</f>
        <v>62793</v>
      </c>
      <c r="I12" s="69">
        <f>H12+'GS Pay Calculator'!$I25</f>
        <v>64537</v>
      </c>
      <c r="J12" s="69">
        <f>I12+'GS Pay Calculator'!$I25</f>
        <v>66281</v>
      </c>
      <c r="K12" s="69">
        <f>J12+'GS Pay Calculator'!$I25</f>
        <v>68025</v>
      </c>
    </row>
    <row r="13" spans="1:11" s="1" customFormat="1" x14ac:dyDescent="0.2">
      <c r="A13" s="5">
        <v>12</v>
      </c>
      <c r="B13" s="69">
        <f>'GS Pay Calculator'!H26</f>
        <v>62722</v>
      </c>
      <c r="C13" s="69">
        <f>B13+'GS Pay Calculator'!$I26</f>
        <v>64813</v>
      </c>
      <c r="D13" s="69">
        <f>C13+'GS Pay Calculator'!$I26</f>
        <v>66904</v>
      </c>
      <c r="E13" s="69">
        <f>D13+'GS Pay Calculator'!$I26</f>
        <v>68995</v>
      </c>
      <c r="F13" s="69">
        <f>E13+'GS Pay Calculator'!$I26</f>
        <v>71086</v>
      </c>
      <c r="G13" s="69">
        <f>F13+'GS Pay Calculator'!$I26</f>
        <v>73177</v>
      </c>
      <c r="H13" s="69">
        <f>G13+'GS Pay Calculator'!$I26</f>
        <v>75268</v>
      </c>
      <c r="I13" s="69">
        <f>H13+'GS Pay Calculator'!$I26</f>
        <v>77359</v>
      </c>
      <c r="J13" s="69">
        <f>I13+'GS Pay Calculator'!$I26</f>
        <v>79450</v>
      </c>
      <c r="K13" s="69">
        <f>J13+'GS Pay Calculator'!$I26</f>
        <v>81541</v>
      </c>
    </row>
    <row r="14" spans="1:11" s="1" customFormat="1" x14ac:dyDescent="0.2">
      <c r="A14" s="5">
        <v>13</v>
      </c>
      <c r="B14" s="69">
        <f>'GS Pay Calculator'!H27</f>
        <v>74584</v>
      </c>
      <c r="C14" s="69">
        <f>B14+'GS Pay Calculator'!$I27</f>
        <v>77070</v>
      </c>
      <c r="D14" s="69">
        <f>C14+'GS Pay Calculator'!$I27</f>
        <v>79556</v>
      </c>
      <c r="E14" s="69">
        <f>D14+'GS Pay Calculator'!$I27</f>
        <v>82042</v>
      </c>
      <c r="F14" s="69">
        <f>E14+'GS Pay Calculator'!$I27</f>
        <v>84528</v>
      </c>
      <c r="G14" s="69">
        <f>F14+'GS Pay Calculator'!$I27</f>
        <v>87014</v>
      </c>
      <c r="H14" s="69">
        <f>G14+'GS Pay Calculator'!$I27</f>
        <v>89500</v>
      </c>
      <c r="I14" s="69">
        <f>H14+'GS Pay Calculator'!$I27</f>
        <v>91986</v>
      </c>
      <c r="J14" s="69">
        <f>I14+'GS Pay Calculator'!$I27</f>
        <v>94472</v>
      </c>
      <c r="K14" s="69">
        <f>J14+'GS Pay Calculator'!$I27</f>
        <v>96958</v>
      </c>
    </row>
    <row r="15" spans="1:11" s="1" customFormat="1" x14ac:dyDescent="0.2">
      <c r="A15" s="5">
        <v>14</v>
      </c>
      <c r="B15" s="69">
        <f>'GS Pay Calculator'!H28</f>
        <v>88136</v>
      </c>
      <c r="C15" s="69">
        <f>B15+'GS Pay Calculator'!$I28</f>
        <v>91074</v>
      </c>
      <c r="D15" s="69">
        <f>C15+'GS Pay Calculator'!$I28</f>
        <v>94012</v>
      </c>
      <c r="E15" s="69">
        <f>D15+'GS Pay Calculator'!$I28</f>
        <v>96950</v>
      </c>
      <c r="F15" s="69">
        <f>E15+'GS Pay Calculator'!$I28</f>
        <v>99888</v>
      </c>
      <c r="G15" s="69">
        <f>F15+'GS Pay Calculator'!$I28</f>
        <v>102826</v>
      </c>
      <c r="H15" s="69">
        <f>G15+'GS Pay Calculator'!$I28</f>
        <v>105764</v>
      </c>
      <c r="I15" s="69">
        <f>H15+'GS Pay Calculator'!$I28</f>
        <v>108702</v>
      </c>
      <c r="J15" s="69">
        <f>I15+'GS Pay Calculator'!$I28</f>
        <v>111640</v>
      </c>
      <c r="K15" s="69">
        <f>J15+'GS Pay Calculator'!$I28</f>
        <v>114578</v>
      </c>
    </row>
  </sheetData>
  <sheetProtection password="CCE4" sheet="1" objects="1" scenarios="1"/>
  <mergeCells count="1">
    <mergeCell ref="B2:K2"/>
  </mergeCells>
  <phoneticPr fontId="0" type="noConversion"/>
  <printOptions horizontalCentered="1"/>
  <pageMargins left="0.75" right="0.75" top="1" bottom="1" header="0.5" footer="0.5"/>
  <pageSetup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0"/>
  <sheetViews>
    <sheetView showGridLines="0" zoomScaleNormal="100" workbookViewId="0">
      <selection activeCell="B2" sqref="B2"/>
    </sheetView>
  </sheetViews>
  <sheetFormatPr defaultRowHeight="12.75" x14ac:dyDescent="0.2"/>
  <cols>
    <col min="1" max="1" width="50.5703125" customWidth="1"/>
    <col min="2" max="6" width="15.7109375" customWidth="1"/>
  </cols>
  <sheetData>
    <row r="1" spans="1:6" ht="15" customHeight="1" x14ac:dyDescent="0.2">
      <c r="A1" s="113" t="s">
        <v>117</v>
      </c>
      <c r="B1" s="113" t="s">
        <v>118</v>
      </c>
      <c r="C1" s="156" t="s">
        <v>93</v>
      </c>
      <c r="D1" s="158" t="s">
        <v>108</v>
      </c>
      <c r="E1" s="158" t="s">
        <v>109</v>
      </c>
      <c r="F1" s="158" t="s">
        <v>110</v>
      </c>
    </row>
    <row r="2" spans="1:6" ht="15" customHeight="1" x14ac:dyDescent="0.2">
      <c r="A2" s="114" t="s">
        <v>87</v>
      </c>
      <c r="B2" s="85">
        <v>0.15060000000000001</v>
      </c>
      <c r="C2" s="86">
        <f t="shared" ref="C2:C44" si="0">IF((E2+F2)&gt;0.25,0.25,E2+F2)</f>
        <v>0</v>
      </c>
      <c r="D2" s="86">
        <v>0</v>
      </c>
      <c r="E2" s="157">
        <f t="shared" ref="E2:E56" si="1">IF((ROUND(D2-(B2*0.65),4)/(1+B2))&lt;0,0,ROUND(D2-(B2*0.65),4)/(1+B2))</f>
        <v>0</v>
      </c>
      <c r="F2" s="157">
        <v>0</v>
      </c>
    </row>
    <row r="3" spans="1:6" ht="15" customHeight="1" x14ac:dyDescent="0.2">
      <c r="A3" s="114" t="s">
        <v>113</v>
      </c>
      <c r="B3" s="86">
        <v>0.27129999999999999</v>
      </c>
      <c r="C3" s="86">
        <f t="shared" si="0"/>
        <v>4.2240226539762442E-2</v>
      </c>
      <c r="D3" s="157">
        <v>0.23</v>
      </c>
      <c r="E3" s="157">
        <f>IF((ROUND(D3-(B3*0.65),4)/(1+B3))&lt;0,0,ROUND(D3-(B3*0.65),4)/(1+B3))</f>
        <v>4.2240226539762442E-2</v>
      </c>
      <c r="F3" s="157">
        <v>0</v>
      </c>
    </row>
    <row r="4" spans="1:6" ht="15" customHeight="1" x14ac:dyDescent="0.2">
      <c r="A4" s="114" t="s">
        <v>114</v>
      </c>
      <c r="B4" s="86">
        <v>0.27129999999999999</v>
      </c>
      <c r="C4" s="86">
        <f t="shared" si="0"/>
        <v>5.7972154487532443E-2</v>
      </c>
      <c r="D4" s="86">
        <v>0.25</v>
      </c>
      <c r="E4" s="86">
        <f>IF((ROUND(D4-(B4*0.65),4)/(1+B4))&lt;0,0,ROUND(D4-(B4*0.65),4)/(1+B4))</f>
        <v>5.7972154487532443E-2</v>
      </c>
      <c r="F4" s="86">
        <v>0</v>
      </c>
    </row>
    <row r="5" spans="1:6" ht="15" customHeight="1" x14ac:dyDescent="0.2">
      <c r="A5" s="114" t="s">
        <v>136</v>
      </c>
      <c r="B5" s="85">
        <v>0.1585</v>
      </c>
      <c r="C5" s="86">
        <f t="shared" si="0"/>
        <v>0</v>
      </c>
      <c r="D5" s="86">
        <v>0</v>
      </c>
      <c r="E5" s="157">
        <f t="shared" si="1"/>
        <v>0</v>
      </c>
      <c r="F5" s="157">
        <v>0</v>
      </c>
    </row>
    <row r="6" spans="1:6" ht="15" customHeight="1" x14ac:dyDescent="0.2">
      <c r="A6" s="114" t="s">
        <v>137</v>
      </c>
      <c r="B6" s="86">
        <v>0.15359999999999999</v>
      </c>
      <c r="C6" s="86">
        <f t="shared" si="0"/>
        <v>0</v>
      </c>
      <c r="D6" s="86">
        <v>0</v>
      </c>
      <c r="E6" s="157">
        <f t="shared" si="1"/>
        <v>0</v>
      </c>
      <c r="F6" s="157">
        <v>0</v>
      </c>
    </row>
    <row r="7" spans="1:6" ht="15" customHeight="1" x14ac:dyDescent="0.2">
      <c r="A7" s="114" t="s">
        <v>138</v>
      </c>
      <c r="B7" s="86">
        <v>0.20699999999999999</v>
      </c>
      <c r="C7" s="86">
        <f t="shared" si="0"/>
        <v>0</v>
      </c>
      <c r="D7" s="86">
        <v>0</v>
      </c>
      <c r="E7" s="157">
        <f t="shared" si="1"/>
        <v>0</v>
      </c>
      <c r="F7" s="157">
        <v>0</v>
      </c>
    </row>
    <row r="8" spans="1:6" ht="15" customHeight="1" x14ac:dyDescent="0.2">
      <c r="A8" s="114" t="s">
        <v>139</v>
      </c>
      <c r="B8" s="86">
        <v>0.15970000000000001</v>
      </c>
      <c r="C8" s="86">
        <f t="shared" si="0"/>
        <v>0</v>
      </c>
      <c r="D8" s="86">
        <v>0</v>
      </c>
      <c r="E8" s="157">
        <f t="shared" si="1"/>
        <v>0</v>
      </c>
      <c r="F8" s="157">
        <v>0</v>
      </c>
    </row>
    <row r="9" spans="1:6" ht="15" customHeight="1" x14ac:dyDescent="0.2">
      <c r="A9" s="114" t="s">
        <v>140</v>
      </c>
      <c r="B9" s="86">
        <v>0.26729999999999998</v>
      </c>
      <c r="C9" s="86">
        <f t="shared" si="0"/>
        <v>0</v>
      </c>
      <c r="D9" s="86">
        <v>0</v>
      </c>
      <c r="E9" s="157">
        <f t="shared" si="1"/>
        <v>0</v>
      </c>
      <c r="F9" s="157">
        <v>0</v>
      </c>
    </row>
    <row r="10" spans="1:6" ht="15" customHeight="1" x14ac:dyDescent="0.2">
      <c r="A10" s="114" t="s">
        <v>141</v>
      </c>
      <c r="B10" s="86">
        <v>0.18659999999999999</v>
      </c>
      <c r="C10" s="86">
        <f t="shared" si="0"/>
        <v>0</v>
      </c>
      <c r="D10" s="86">
        <v>0</v>
      </c>
      <c r="E10" s="157">
        <f t="shared" si="1"/>
        <v>0</v>
      </c>
      <c r="F10" s="157">
        <v>0</v>
      </c>
    </row>
    <row r="11" spans="1:6" ht="15" customHeight="1" x14ac:dyDescent="0.2">
      <c r="A11" s="114" t="s">
        <v>142</v>
      </c>
      <c r="B11" s="86">
        <v>0.1565</v>
      </c>
      <c r="C11" s="86">
        <f t="shared" si="0"/>
        <v>0</v>
      </c>
      <c r="D11" s="86">
        <v>0</v>
      </c>
      <c r="E11" s="157">
        <f t="shared" si="1"/>
        <v>0</v>
      </c>
      <c r="F11" s="157">
        <v>0</v>
      </c>
    </row>
    <row r="12" spans="1:6" ht="15" customHeight="1" x14ac:dyDescent="0.2">
      <c r="A12" s="114" t="s">
        <v>143</v>
      </c>
      <c r="B12" s="86">
        <v>0.26850000000000002</v>
      </c>
      <c r="C12" s="86">
        <f t="shared" si="0"/>
        <v>0</v>
      </c>
      <c r="D12" s="86">
        <v>0</v>
      </c>
      <c r="E12" s="157">
        <f t="shared" si="1"/>
        <v>0</v>
      </c>
      <c r="F12" s="157">
        <v>0</v>
      </c>
    </row>
    <row r="13" spans="1:6" ht="15" customHeight="1" x14ac:dyDescent="0.2">
      <c r="A13" s="114" t="s">
        <v>144</v>
      </c>
      <c r="B13" s="86">
        <v>0.19520000000000001</v>
      </c>
      <c r="C13" s="86">
        <f t="shared" si="0"/>
        <v>0</v>
      </c>
      <c r="D13" s="86">
        <v>0</v>
      </c>
      <c r="E13" s="157">
        <f t="shared" si="1"/>
        <v>0</v>
      </c>
      <c r="F13" s="157">
        <v>0</v>
      </c>
    </row>
    <row r="14" spans="1:6" ht="15" customHeight="1" x14ac:dyDescent="0.2">
      <c r="A14" s="114" t="s">
        <v>145</v>
      </c>
      <c r="B14" s="86">
        <v>0.1971</v>
      </c>
      <c r="C14" s="86">
        <f t="shared" si="0"/>
        <v>0</v>
      </c>
      <c r="D14" s="86">
        <v>0</v>
      </c>
      <c r="E14" s="157">
        <f t="shared" si="1"/>
        <v>0</v>
      </c>
      <c r="F14" s="157">
        <v>0</v>
      </c>
    </row>
    <row r="15" spans="1:6" ht="15" customHeight="1" x14ac:dyDescent="0.2">
      <c r="A15" s="114" t="s">
        <v>146</v>
      </c>
      <c r="B15" s="86">
        <v>0.15989999999999999</v>
      </c>
      <c r="C15" s="86">
        <f t="shared" si="0"/>
        <v>0</v>
      </c>
      <c r="D15" s="86">
        <v>0</v>
      </c>
      <c r="E15" s="157">
        <f t="shared" si="1"/>
        <v>0</v>
      </c>
      <c r="F15" s="157">
        <v>0</v>
      </c>
    </row>
    <row r="16" spans="1:6" ht="15" customHeight="1" x14ac:dyDescent="0.2">
      <c r="A16" s="114" t="s">
        <v>147</v>
      </c>
      <c r="B16" s="86">
        <v>0.18490000000000001</v>
      </c>
      <c r="C16" s="86">
        <f t="shared" si="0"/>
        <v>0</v>
      </c>
      <c r="D16" s="86">
        <v>0</v>
      </c>
      <c r="E16" s="157">
        <f t="shared" si="1"/>
        <v>0</v>
      </c>
      <c r="F16" s="157">
        <v>0</v>
      </c>
    </row>
    <row r="17" spans="1:6" ht="15" customHeight="1" x14ac:dyDescent="0.2">
      <c r="A17" s="114" t="s">
        <v>148</v>
      </c>
      <c r="B17" s="86">
        <v>0.2261</v>
      </c>
      <c r="C17" s="86">
        <f t="shared" ref="C17:C23" si="2">IF((E17+F17)&gt;0.25,0.25,E17+F17)</f>
        <v>0</v>
      </c>
      <c r="D17" s="86">
        <v>0</v>
      </c>
      <c r="E17" s="157">
        <f t="shared" ref="E17:E23" si="3">IF((ROUND(D17-(B17*0.65),4)/(1+B17))&lt;0,0,ROUND(D17-(B17*0.65),4)/(1+B17))</f>
        <v>0</v>
      </c>
      <c r="F17" s="157">
        <v>0</v>
      </c>
    </row>
    <row r="18" spans="1:6" ht="15" customHeight="1" x14ac:dyDescent="0.2">
      <c r="A18" s="114" t="s">
        <v>149</v>
      </c>
      <c r="B18" s="86">
        <v>0.15559999999999999</v>
      </c>
      <c r="C18" s="86">
        <f t="shared" si="2"/>
        <v>0</v>
      </c>
      <c r="D18" s="86">
        <v>0</v>
      </c>
      <c r="E18" s="157">
        <f t="shared" si="3"/>
        <v>0</v>
      </c>
      <c r="F18" s="157">
        <v>0</v>
      </c>
    </row>
    <row r="19" spans="1:6" ht="15" customHeight="1" x14ac:dyDescent="0.2">
      <c r="A19" s="114" t="s">
        <v>150</v>
      </c>
      <c r="B19" s="86">
        <v>0.1759</v>
      </c>
      <c r="C19" s="86">
        <f t="shared" si="2"/>
        <v>0</v>
      </c>
      <c r="D19" s="86">
        <v>0</v>
      </c>
      <c r="E19" s="157">
        <f t="shared" si="3"/>
        <v>0</v>
      </c>
      <c r="F19" s="157">
        <v>0</v>
      </c>
    </row>
    <row r="20" spans="1:6" ht="15" customHeight="1" x14ac:dyDescent="0.2">
      <c r="A20" s="114" t="s">
        <v>151</v>
      </c>
      <c r="B20" s="86">
        <v>0.2465</v>
      </c>
      <c r="C20" s="86">
        <f t="shared" si="2"/>
        <v>0</v>
      </c>
      <c r="D20" s="86">
        <v>0</v>
      </c>
      <c r="E20" s="157">
        <f t="shared" si="3"/>
        <v>0</v>
      </c>
      <c r="F20" s="157">
        <v>0</v>
      </c>
    </row>
    <row r="21" spans="1:6" ht="15" customHeight="1" x14ac:dyDescent="0.2">
      <c r="A21" s="114" t="s">
        <v>152</v>
      </c>
      <c r="B21" s="86">
        <v>0.25679999999999997</v>
      </c>
      <c r="C21" s="86">
        <f t="shared" si="2"/>
        <v>0</v>
      </c>
      <c r="D21" s="86">
        <v>0</v>
      </c>
      <c r="E21" s="157">
        <f t="shared" si="3"/>
        <v>0</v>
      </c>
      <c r="F21" s="157">
        <v>0</v>
      </c>
    </row>
    <row r="22" spans="1:6" ht="15" customHeight="1" x14ac:dyDescent="0.2">
      <c r="A22" s="114" t="s">
        <v>153</v>
      </c>
      <c r="B22" s="86">
        <v>0.15629999999999999</v>
      </c>
      <c r="C22" s="86">
        <f t="shared" si="2"/>
        <v>0</v>
      </c>
      <c r="D22" s="86">
        <v>0</v>
      </c>
      <c r="E22" s="157">
        <f t="shared" si="3"/>
        <v>0</v>
      </c>
      <c r="F22" s="157">
        <v>0</v>
      </c>
    </row>
    <row r="23" spans="1:6" ht="15" customHeight="1" x14ac:dyDescent="0.2">
      <c r="A23" s="114" t="s">
        <v>154</v>
      </c>
      <c r="B23" s="86">
        <v>0.2757</v>
      </c>
      <c r="C23" s="86">
        <f t="shared" si="2"/>
        <v>0</v>
      </c>
      <c r="D23" s="86">
        <v>0</v>
      </c>
      <c r="E23" s="157">
        <f t="shared" si="3"/>
        <v>0</v>
      </c>
      <c r="F23" s="157">
        <v>0</v>
      </c>
    </row>
    <row r="24" spans="1:6" ht="15" customHeight="1" x14ac:dyDescent="0.2">
      <c r="A24" s="114" t="s">
        <v>116</v>
      </c>
      <c r="B24" s="86">
        <v>0.1792</v>
      </c>
      <c r="C24" s="86">
        <f t="shared" si="0"/>
        <v>0.1132123473541384</v>
      </c>
      <c r="D24" s="86">
        <v>0.25</v>
      </c>
      <c r="E24" s="86">
        <f>IF((ROUND(D24-(B24*0.65),4)/(1+B24))&lt;0,0,ROUND(D24-(B24*0.65),4)/(1+B24))</f>
        <v>0.1132123473541384</v>
      </c>
      <c r="F24" s="86">
        <v>0</v>
      </c>
    </row>
    <row r="25" spans="1:6" ht="15" customHeight="1" x14ac:dyDescent="0.2">
      <c r="A25" s="114" t="s">
        <v>115</v>
      </c>
      <c r="B25" s="86">
        <v>0.1792</v>
      </c>
      <c r="C25" s="86">
        <f>IF((E25+F25)&gt;0.25,0.25,E25+F25)</f>
        <v>5.3850067842605154E-2</v>
      </c>
      <c r="D25" s="86">
        <v>0.18</v>
      </c>
      <c r="E25" s="86">
        <f>IF((ROUND(D25-(B25*0.65),4)/(1+B25))&lt;0,0,ROUND(D25-(B25*0.65),4)/(1+B25))</f>
        <v>5.3850067842605154E-2</v>
      </c>
      <c r="F25" s="86">
        <v>0</v>
      </c>
    </row>
    <row r="26" spans="1:6" ht="15" customHeight="1" x14ac:dyDescent="0.2">
      <c r="A26" s="114" t="s">
        <v>155</v>
      </c>
      <c r="B26" s="86">
        <v>0.30969999999999998</v>
      </c>
      <c r="C26" s="86">
        <f t="shared" si="0"/>
        <v>0</v>
      </c>
      <c r="D26" s="86">
        <v>0</v>
      </c>
      <c r="E26" s="157">
        <f t="shared" si="1"/>
        <v>0</v>
      </c>
      <c r="F26" s="157">
        <v>0</v>
      </c>
    </row>
    <row r="27" spans="1:6" ht="15" customHeight="1" x14ac:dyDescent="0.2">
      <c r="A27" s="114" t="s">
        <v>156</v>
      </c>
      <c r="B27" s="86">
        <v>0.1782</v>
      </c>
      <c r="C27" s="86">
        <f t="shared" si="0"/>
        <v>0</v>
      </c>
      <c r="D27" s="86">
        <v>0</v>
      </c>
      <c r="E27" s="157">
        <f t="shared" si="1"/>
        <v>0</v>
      </c>
      <c r="F27" s="157">
        <v>0</v>
      </c>
    </row>
    <row r="28" spans="1:6" ht="15" customHeight="1" x14ac:dyDescent="0.2">
      <c r="A28" s="114" t="s">
        <v>157</v>
      </c>
      <c r="B28" s="86">
        <v>0.1585</v>
      </c>
      <c r="C28" s="86">
        <f t="shared" si="0"/>
        <v>0</v>
      </c>
      <c r="D28" s="86">
        <v>0</v>
      </c>
      <c r="E28" s="157">
        <f t="shared" si="1"/>
        <v>0</v>
      </c>
      <c r="F28" s="157">
        <v>0</v>
      </c>
    </row>
    <row r="29" spans="1:6" ht="15" customHeight="1" x14ac:dyDescent="0.2">
      <c r="A29" s="114" t="s">
        <v>158</v>
      </c>
      <c r="B29" s="86">
        <v>0.15590000000000001</v>
      </c>
      <c r="C29" s="86">
        <f t="shared" si="0"/>
        <v>0</v>
      </c>
      <c r="D29" s="86">
        <v>0</v>
      </c>
      <c r="E29" s="157">
        <f t="shared" si="1"/>
        <v>0</v>
      </c>
      <c r="F29" s="157">
        <v>0</v>
      </c>
    </row>
    <row r="30" spans="1:6" ht="15" customHeight="1" x14ac:dyDescent="0.2">
      <c r="A30" s="114" t="s">
        <v>159</v>
      </c>
      <c r="B30" s="86">
        <v>0.1668</v>
      </c>
      <c r="C30" s="86">
        <f t="shared" si="0"/>
        <v>0</v>
      </c>
      <c r="D30" s="86">
        <v>0</v>
      </c>
      <c r="E30" s="157">
        <f t="shared" si="1"/>
        <v>0</v>
      </c>
      <c r="F30" s="157">
        <v>0</v>
      </c>
    </row>
    <row r="31" spans="1:6" ht="15" customHeight="1" x14ac:dyDescent="0.2">
      <c r="A31" s="114" t="s">
        <v>160</v>
      </c>
      <c r="B31" s="86">
        <v>0.1593</v>
      </c>
      <c r="C31" s="86">
        <f t="shared" si="0"/>
        <v>0</v>
      </c>
      <c r="D31" s="86">
        <v>0</v>
      </c>
      <c r="E31" s="157">
        <f t="shared" si="1"/>
        <v>0</v>
      </c>
      <c r="F31" s="157">
        <v>0</v>
      </c>
    </row>
    <row r="32" spans="1:6" ht="15" customHeight="1" x14ac:dyDescent="0.2">
      <c r="A32" s="114" t="s">
        <v>161</v>
      </c>
      <c r="B32" s="86">
        <v>0.29649999999999999</v>
      </c>
      <c r="C32" s="86">
        <f t="shared" si="0"/>
        <v>0</v>
      </c>
      <c r="D32" s="86">
        <v>0</v>
      </c>
      <c r="E32" s="157">
        <f t="shared" si="1"/>
        <v>0</v>
      </c>
      <c r="F32" s="157">
        <v>0</v>
      </c>
    </row>
    <row r="33" spans="1:6" ht="15" customHeight="1" x14ac:dyDescent="0.2">
      <c r="A33" s="114" t="s">
        <v>162</v>
      </c>
      <c r="B33" s="86">
        <v>0.2213</v>
      </c>
      <c r="C33" s="86">
        <f t="shared" si="0"/>
        <v>0</v>
      </c>
      <c r="D33" s="86">
        <v>0</v>
      </c>
      <c r="E33" s="157">
        <f t="shared" si="1"/>
        <v>0</v>
      </c>
      <c r="F33" s="157">
        <v>0</v>
      </c>
    </row>
    <row r="34" spans="1:6" ht="15" customHeight="1" x14ac:dyDescent="0.2">
      <c r="A34" s="114" t="s">
        <v>163</v>
      </c>
      <c r="B34" s="86">
        <v>0.1961</v>
      </c>
      <c r="C34" s="86">
        <f t="shared" si="0"/>
        <v>0</v>
      </c>
      <c r="D34" s="86">
        <v>0</v>
      </c>
      <c r="E34" s="157">
        <f t="shared" si="1"/>
        <v>0</v>
      </c>
      <c r="F34" s="157">
        <v>0</v>
      </c>
    </row>
    <row r="35" spans="1:6" ht="15" customHeight="1" x14ac:dyDescent="0.2">
      <c r="A35" s="114" t="s">
        <v>164</v>
      </c>
      <c r="B35" s="86">
        <v>0.22720000000000001</v>
      </c>
      <c r="C35" s="86">
        <f t="shared" si="0"/>
        <v>0</v>
      </c>
      <c r="D35" s="86">
        <v>0</v>
      </c>
      <c r="E35" s="157">
        <f t="shared" si="1"/>
        <v>0</v>
      </c>
      <c r="F35" s="157">
        <v>0</v>
      </c>
    </row>
    <row r="36" spans="1:6" ht="15" customHeight="1" x14ac:dyDescent="0.2">
      <c r="A36" s="114" t="s">
        <v>165</v>
      </c>
      <c r="B36" s="86">
        <v>0.31219999999999998</v>
      </c>
      <c r="C36" s="86">
        <f t="shared" si="0"/>
        <v>0</v>
      </c>
      <c r="D36" s="86">
        <v>0</v>
      </c>
      <c r="E36" s="157">
        <f t="shared" si="1"/>
        <v>0</v>
      </c>
      <c r="F36" s="157">
        <v>0</v>
      </c>
    </row>
    <row r="37" spans="1:6" ht="15" customHeight="1" x14ac:dyDescent="0.2">
      <c r="A37" s="114" t="s">
        <v>166</v>
      </c>
      <c r="B37" s="86">
        <v>0.15479999999999999</v>
      </c>
      <c r="C37" s="86">
        <f t="shared" si="0"/>
        <v>0</v>
      </c>
      <c r="D37" s="86">
        <v>0</v>
      </c>
      <c r="E37" s="157">
        <f t="shared" si="1"/>
        <v>0</v>
      </c>
      <c r="F37" s="157">
        <v>0</v>
      </c>
    </row>
    <row r="38" spans="1:6" ht="15" customHeight="1" x14ac:dyDescent="0.2">
      <c r="A38" s="114" t="s">
        <v>167</v>
      </c>
      <c r="B38" s="86">
        <v>0.2387</v>
      </c>
      <c r="C38" s="86">
        <f t="shared" si="0"/>
        <v>0</v>
      </c>
      <c r="D38" s="86">
        <v>0</v>
      </c>
      <c r="E38" s="157">
        <f t="shared" si="1"/>
        <v>0</v>
      </c>
      <c r="F38" s="157">
        <v>0</v>
      </c>
    </row>
    <row r="39" spans="1:6" ht="15" customHeight="1" x14ac:dyDescent="0.2">
      <c r="A39" s="114" t="s">
        <v>168</v>
      </c>
      <c r="B39" s="86">
        <v>0.1857</v>
      </c>
      <c r="C39" s="86">
        <f t="shared" si="0"/>
        <v>0</v>
      </c>
      <c r="D39" s="86">
        <v>0</v>
      </c>
      <c r="E39" s="157">
        <f t="shared" si="1"/>
        <v>0</v>
      </c>
      <c r="F39" s="157">
        <v>0</v>
      </c>
    </row>
    <row r="40" spans="1:6" ht="15" customHeight="1" x14ac:dyDescent="0.2">
      <c r="A40" s="114" t="s">
        <v>169</v>
      </c>
      <c r="B40" s="86">
        <v>0.17860000000000001</v>
      </c>
      <c r="C40" s="86">
        <f t="shared" si="0"/>
        <v>0</v>
      </c>
      <c r="D40" s="86">
        <v>0</v>
      </c>
      <c r="E40" s="157">
        <f t="shared" si="1"/>
        <v>0</v>
      </c>
      <c r="F40" s="157">
        <v>0</v>
      </c>
    </row>
    <row r="41" spans="1:6" ht="15" customHeight="1" x14ac:dyDescent="0.2">
      <c r="A41" s="114" t="s">
        <v>170</v>
      </c>
      <c r="B41" s="86">
        <v>0.2195</v>
      </c>
      <c r="C41" s="86">
        <f t="shared" si="0"/>
        <v>0</v>
      </c>
      <c r="D41" s="86">
        <v>0</v>
      </c>
      <c r="E41" s="157">
        <f t="shared" si="1"/>
        <v>0</v>
      </c>
      <c r="F41" s="157">
        <v>0</v>
      </c>
    </row>
    <row r="42" spans="1:6" ht="15" customHeight="1" x14ac:dyDescent="0.2">
      <c r="A42" s="114" t="s">
        <v>171</v>
      </c>
      <c r="B42" s="86">
        <v>0.19020000000000001</v>
      </c>
      <c r="C42" s="86">
        <f t="shared" si="0"/>
        <v>0</v>
      </c>
      <c r="D42" s="86">
        <v>0</v>
      </c>
      <c r="E42" s="157">
        <f t="shared" si="1"/>
        <v>0</v>
      </c>
      <c r="F42" s="157">
        <v>0</v>
      </c>
    </row>
    <row r="43" spans="1:6" ht="15" customHeight="1" x14ac:dyDescent="0.2">
      <c r="A43" s="114" t="s">
        <v>172</v>
      </c>
      <c r="B43" s="86">
        <v>0.18190000000000001</v>
      </c>
      <c r="C43" s="86">
        <f t="shared" si="0"/>
        <v>0</v>
      </c>
      <c r="D43" s="86">
        <v>0</v>
      </c>
      <c r="E43" s="157">
        <f t="shared" si="1"/>
        <v>0</v>
      </c>
      <c r="F43" s="157">
        <v>0</v>
      </c>
    </row>
    <row r="44" spans="1:6" ht="15" customHeight="1" x14ac:dyDescent="0.2">
      <c r="A44" s="84" t="s">
        <v>173</v>
      </c>
      <c r="B44" s="86">
        <v>0.2414</v>
      </c>
      <c r="C44" s="86">
        <f t="shared" si="0"/>
        <v>0</v>
      </c>
      <c r="D44" s="86">
        <v>0</v>
      </c>
      <c r="E44" s="157">
        <f t="shared" si="1"/>
        <v>0</v>
      </c>
      <c r="F44" s="157">
        <v>0</v>
      </c>
    </row>
    <row r="45" spans="1:6" ht="15" customHeight="1" x14ac:dyDescent="0.2">
      <c r="A45" s="84" t="s">
        <v>174</v>
      </c>
      <c r="B45" s="86">
        <v>0.26979999999999998</v>
      </c>
      <c r="C45" s="86">
        <f t="shared" ref="C45:C50" si="4">IF((E45+F45)&gt;0.25,0.25,E45+F45)</f>
        <v>0</v>
      </c>
      <c r="D45" s="86">
        <v>0</v>
      </c>
      <c r="E45" s="157">
        <f t="shared" ref="E45:E50" si="5">IF((ROUND(D45-(B45*0.65),4)/(1+B45))&lt;0,0,ROUND(D45-(B45*0.65),4)/(1+B45))</f>
        <v>0</v>
      </c>
      <c r="F45" s="157">
        <v>0</v>
      </c>
    </row>
    <row r="46" spans="1:6" ht="15" customHeight="1" x14ac:dyDescent="0.2">
      <c r="A46" s="84" t="s">
        <v>175</v>
      </c>
      <c r="B46" s="86">
        <v>0.38169999999999998</v>
      </c>
      <c r="C46" s="86">
        <f t="shared" si="4"/>
        <v>0</v>
      </c>
      <c r="D46" s="86">
        <v>0</v>
      </c>
      <c r="E46" s="157">
        <f t="shared" si="5"/>
        <v>0</v>
      </c>
      <c r="F46" s="157">
        <v>0</v>
      </c>
    </row>
    <row r="47" spans="1:6" ht="15" customHeight="1" x14ac:dyDescent="0.2">
      <c r="A47" s="84" t="s">
        <v>176</v>
      </c>
      <c r="B47" s="86">
        <v>0.2424</v>
      </c>
      <c r="C47" s="86">
        <f t="shared" si="4"/>
        <v>0</v>
      </c>
      <c r="D47" s="86">
        <v>0</v>
      </c>
      <c r="E47" s="157">
        <f t="shared" si="5"/>
        <v>0</v>
      </c>
      <c r="F47" s="157">
        <v>0</v>
      </c>
    </row>
    <row r="48" spans="1:6" ht="15" customHeight="1" x14ac:dyDescent="0.2">
      <c r="A48" s="84" t="s">
        <v>177</v>
      </c>
      <c r="B48" s="86">
        <v>0.1583</v>
      </c>
      <c r="C48" s="86">
        <f t="shared" si="4"/>
        <v>0</v>
      </c>
      <c r="D48" s="86">
        <v>0</v>
      </c>
      <c r="E48" s="157">
        <f t="shared" si="5"/>
        <v>0</v>
      </c>
      <c r="F48" s="157">
        <v>0</v>
      </c>
    </row>
    <row r="49" spans="1:6" ht="15" customHeight="1" x14ac:dyDescent="0.2">
      <c r="A49" s="84" t="s">
        <v>178</v>
      </c>
      <c r="B49" s="86">
        <v>0.15659999999999999</v>
      </c>
      <c r="C49" s="86">
        <f t="shared" si="4"/>
        <v>0</v>
      </c>
      <c r="D49" s="86">
        <v>0</v>
      </c>
      <c r="E49" s="157">
        <f t="shared" si="5"/>
        <v>0</v>
      </c>
      <c r="F49" s="157">
        <v>0</v>
      </c>
    </row>
    <row r="50" spans="1:6" ht="15" customHeight="1" x14ac:dyDescent="0.2">
      <c r="A50" s="84" t="s">
        <v>179</v>
      </c>
      <c r="B50" s="86">
        <v>0.27100000000000002</v>
      </c>
      <c r="C50" s="86">
        <f t="shared" si="4"/>
        <v>0</v>
      </c>
      <c r="D50" s="86">
        <v>0</v>
      </c>
      <c r="E50" s="157">
        <f t="shared" si="5"/>
        <v>0</v>
      </c>
      <c r="F50" s="157">
        <v>0</v>
      </c>
    </row>
    <row r="51" spans="1:6" ht="15" customHeight="1" x14ac:dyDescent="0.2">
      <c r="A51" s="114" t="s">
        <v>65</v>
      </c>
      <c r="B51" s="85">
        <v>0.15060000000000001</v>
      </c>
      <c r="C51" s="86">
        <f t="shared" ref="C51:C56" si="6">IF((E51+F51)&gt;0.25,0.25,E51+F51)</f>
        <v>3.6589605423257426E-2</v>
      </c>
      <c r="D51" s="86">
        <v>0.14000000000000001</v>
      </c>
      <c r="E51" s="86">
        <f t="shared" si="1"/>
        <v>3.6589605423257426E-2</v>
      </c>
      <c r="F51" s="86">
        <v>0</v>
      </c>
    </row>
    <row r="52" spans="1:6" ht="15" customHeight="1" x14ac:dyDescent="0.2">
      <c r="A52" s="114" t="s">
        <v>63</v>
      </c>
      <c r="B52" s="85">
        <v>0.15060000000000001</v>
      </c>
      <c r="C52" s="86">
        <f t="shared" si="6"/>
        <v>0.13219189987832436</v>
      </c>
      <c r="D52" s="86">
        <v>0.25</v>
      </c>
      <c r="E52" s="86">
        <f t="shared" si="1"/>
        <v>0.13219189987832436</v>
      </c>
      <c r="F52" s="86">
        <v>0</v>
      </c>
    </row>
    <row r="53" spans="1:6" ht="15" customHeight="1" x14ac:dyDescent="0.2">
      <c r="A53" s="114" t="s">
        <v>81</v>
      </c>
      <c r="B53" s="85">
        <v>0.15060000000000001</v>
      </c>
      <c r="C53" s="86">
        <f t="shared" si="6"/>
        <v>0.25</v>
      </c>
      <c r="D53" s="86">
        <v>0</v>
      </c>
      <c r="E53" s="86">
        <f t="shared" si="1"/>
        <v>0</v>
      </c>
      <c r="F53" s="86">
        <v>0.25</v>
      </c>
    </row>
    <row r="54" spans="1:6" ht="15" customHeight="1" x14ac:dyDescent="0.2">
      <c r="A54" s="114" t="s">
        <v>82</v>
      </c>
      <c r="B54" s="85">
        <v>0.15060000000000001</v>
      </c>
      <c r="C54" s="86">
        <f t="shared" si="6"/>
        <v>0.25</v>
      </c>
      <c r="D54" s="86">
        <v>0</v>
      </c>
      <c r="E54" s="86">
        <f t="shared" si="1"/>
        <v>0</v>
      </c>
      <c r="F54" s="86">
        <v>0.25</v>
      </c>
    </row>
    <row r="55" spans="1:6" ht="15" customHeight="1" x14ac:dyDescent="0.2">
      <c r="A55" s="114" t="s">
        <v>83</v>
      </c>
      <c r="B55" s="85">
        <v>0.15060000000000001</v>
      </c>
      <c r="C55" s="86">
        <f t="shared" si="6"/>
        <v>0.25</v>
      </c>
      <c r="D55" s="86">
        <v>0</v>
      </c>
      <c r="E55" s="86">
        <f t="shared" si="1"/>
        <v>0</v>
      </c>
      <c r="F55" s="86">
        <v>0.25</v>
      </c>
    </row>
    <row r="56" spans="1:6" ht="15" customHeight="1" x14ac:dyDescent="0.2">
      <c r="A56" s="114" t="s">
        <v>64</v>
      </c>
      <c r="B56" s="85">
        <v>0.15060000000000001</v>
      </c>
      <c r="C56" s="86">
        <f t="shared" si="6"/>
        <v>0.25</v>
      </c>
      <c r="D56" s="86">
        <v>0.25</v>
      </c>
      <c r="E56" s="86">
        <f t="shared" si="1"/>
        <v>0.13219189987832436</v>
      </c>
      <c r="F56" s="86">
        <v>0.2</v>
      </c>
    </row>
    <row r="57" spans="1:6" ht="15" customHeight="1" x14ac:dyDescent="0.2">
      <c r="A57" s="114" t="s">
        <v>84</v>
      </c>
      <c r="B57" s="85">
        <v>0.15060000000000001</v>
      </c>
      <c r="C57" s="86">
        <f>IF((E57+F57)&gt;0.25,0.25,E57+F57)</f>
        <v>0.25</v>
      </c>
      <c r="D57" s="86">
        <v>0</v>
      </c>
      <c r="E57" s="86">
        <f>IF((ROUND(D57-(B57*0.65),4)/(1+B57))&lt;0,0,ROUND(D57-(B57*0.65),4)/(1+B57))</f>
        <v>0</v>
      </c>
      <c r="F57" s="86">
        <v>0.25</v>
      </c>
    </row>
    <row r="58" spans="1:6" ht="15" customHeight="1" x14ac:dyDescent="0.2">
      <c r="A58" s="114" t="s">
        <v>68</v>
      </c>
      <c r="B58" s="85">
        <v>0</v>
      </c>
      <c r="C58" s="86">
        <f>IF((E58+F58)&gt;0.25,0.25,E58+F58)</f>
        <v>0</v>
      </c>
      <c r="D58" s="86">
        <v>0</v>
      </c>
      <c r="E58" s="157">
        <f>IF((ROUND(D58-(B58*0.65),4)/(1+B58))&lt;0,0,ROUND(D58-(B58*0.65),4)/(1+B58))</f>
        <v>0</v>
      </c>
      <c r="F58" s="157">
        <v>0</v>
      </c>
    </row>
    <row r="60" spans="1:6" x14ac:dyDescent="0.2">
      <c r="A60" s="112"/>
    </row>
  </sheetData>
  <sheetProtection password="CCE4" sheet="1" objects="1" scenarios="1"/>
  <phoneticPr fontId="18" type="noConversion"/>
  <pageMargins left="0.75" right="0.75" top="1" bottom="1" header="0.5" footer="0.5"/>
  <pageSetup scale="92" orientation="portrait"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34"/>
  <sheetViews>
    <sheetView showGridLines="0" workbookViewId="0">
      <selection activeCell="D3" sqref="D3:F3"/>
    </sheetView>
  </sheetViews>
  <sheetFormatPr defaultRowHeight="12.75" x14ac:dyDescent="0.2"/>
  <cols>
    <col min="1" max="1" width="9.140625" style="130"/>
    <col min="2" max="2" width="8.7109375" style="130" customWidth="1"/>
    <col min="3" max="3" width="15.7109375" style="130" customWidth="1"/>
    <col min="4" max="5" width="12.28515625" style="130" customWidth="1"/>
    <col min="6" max="6" width="8.7109375" style="130" customWidth="1"/>
    <col min="7" max="7" width="15.7109375" style="130" customWidth="1"/>
    <col min="8" max="11" width="12.28515625" style="130" customWidth="1"/>
    <col min="12" max="16384" width="9.140625" style="130"/>
  </cols>
  <sheetData>
    <row r="1" spans="1:9" s="46" customFormat="1" ht="25.5" customHeight="1" x14ac:dyDescent="0.4">
      <c r="A1" s="187" t="s">
        <v>122</v>
      </c>
      <c r="B1" s="187"/>
      <c r="C1" s="187"/>
      <c r="D1" s="187"/>
      <c r="E1" s="187"/>
      <c r="F1" s="187"/>
      <c r="G1" s="187"/>
      <c r="H1" s="187"/>
      <c r="I1" s="187"/>
    </row>
    <row r="2" spans="1:9" s="46" customFormat="1" ht="12.75" customHeight="1" x14ac:dyDescent="0.4">
      <c r="A2" s="126"/>
      <c r="B2" s="126"/>
      <c r="C2" s="126"/>
      <c r="D2" s="126"/>
      <c r="E2" s="126"/>
      <c r="F2" s="126"/>
      <c r="G2" s="126"/>
      <c r="H2" s="126"/>
      <c r="I2" s="126"/>
    </row>
    <row r="3" spans="1:9" x14ac:dyDescent="0.2">
      <c r="A3" s="131"/>
      <c r="B3" s="131"/>
      <c r="C3" s="131"/>
      <c r="D3" s="192" t="s">
        <v>95</v>
      </c>
      <c r="E3" s="192"/>
      <c r="F3" s="192"/>
      <c r="G3" s="131"/>
      <c r="H3" s="131"/>
    </row>
    <row r="4" spans="1:9" x14ac:dyDescent="0.2">
      <c r="A4" s="131"/>
      <c r="B4" s="131"/>
      <c r="C4" s="131"/>
      <c r="D4" s="125"/>
      <c r="E4" s="125"/>
      <c r="F4" s="125"/>
      <c r="G4" s="131"/>
      <c r="H4" s="131"/>
    </row>
    <row r="5" spans="1:9" ht="19.5" x14ac:dyDescent="0.3">
      <c r="A5" s="191" t="str">
        <f>"Locality/COLA Area: "&amp;'Start Page'!C46</f>
        <v>Locality/COLA Area: Rest of the United States</v>
      </c>
      <c r="B5" s="191"/>
      <c r="C5" s="191"/>
      <c r="D5" s="191"/>
      <c r="E5" s="191"/>
      <c r="F5" s="191"/>
      <c r="G5" s="191"/>
      <c r="H5" s="191"/>
      <c r="I5" s="191"/>
    </row>
    <row r="6" spans="1:9" ht="12.75" customHeight="1" x14ac:dyDescent="0.3">
      <c r="D6" s="7"/>
      <c r="E6" s="83"/>
      <c r="F6" s="10"/>
      <c r="G6" s="133"/>
      <c r="H6" s="133"/>
    </row>
    <row r="7" spans="1:9" x14ac:dyDescent="0.2">
      <c r="A7" s="188" t="s">
        <v>123</v>
      </c>
      <c r="B7" s="189"/>
      <c r="C7" s="189"/>
      <c r="D7" s="189"/>
      <c r="E7" s="189"/>
      <c r="F7" s="189"/>
      <c r="G7" s="189"/>
      <c r="H7" s="189"/>
      <c r="I7" s="189"/>
    </row>
    <row r="8" spans="1:9" x14ac:dyDescent="0.2">
      <c r="A8" s="127"/>
      <c r="B8" s="128"/>
      <c r="C8" s="128"/>
      <c r="D8" s="128"/>
      <c r="E8" s="128"/>
      <c r="F8" s="128"/>
      <c r="G8" s="128"/>
      <c r="H8" s="128"/>
      <c r="I8" s="128"/>
    </row>
    <row r="9" spans="1:9" ht="51" customHeight="1" x14ac:dyDescent="0.2">
      <c r="A9" s="193" t="s">
        <v>124</v>
      </c>
      <c r="B9" s="193"/>
      <c r="C9" s="193"/>
      <c r="D9" s="193"/>
      <c r="E9" s="193"/>
      <c r="F9" s="193"/>
      <c r="G9" s="193"/>
      <c r="H9" s="193"/>
      <c r="I9" s="193"/>
    </row>
    <row r="10" spans="1:9" x14ac:dyDescent="0.2">
      <c r="E10" s="132"/>
      <c r="G10" s="133"/>
      <c r="H10" s="133"/>
    </row>
    <row r="11" spans="1:9" s="52" customFormat="1" ht="25.5" customHeight="1" x14ac:dyDescent="0.2">
      <c r="A11" s="166" t="s">
        <v>125</v>
      </c>
      <c r="B11" s="166"/>
      <c r="C11" s="166"/>
      <c r="D11" s="166"/>
      <c r="E11" s="166"/>
      <c r="F11" s="166"/>
      <c r="G11" s="166"/>
      <c r="H11" s="166"/>
      <c r="I11" s="166"/>
    </row>
    <row r="12" spans="1:9" s="52" customFormat="1" x14ac:dyDescent="0.2">
      <c r="A12" s="123"/>
      <c r="B12" s="123"/>
      <c r="C12" s="123"/>
      <c r="D12" s="123"/>
      <c r="E12" s="123"/>
      <c r="F12" s="123"/>
      <c r="G12" s="123"/>
      <c r="H12" s="123"/>
      <c r="I12" s="123"/>
    </row>
    <row r="13" spans="1:9" s="52" customFormat="1" ht="25.5" customHeight="1" x14ac:dyDescent="0.2">
      <c r="A13" s="166" t="s">
        <v>130</v>
      </c>
      <c r="B13" s="166"/>
      <c r="C13" s="166"/>
      <c r="D13" s="166"/>
      <c r="E13" s="166"/>
      <c r="F13" s="166"/>
      <c r="G13" s="166"/>
      <c r="H13" s="166"/>
      <c r="I13" s="166"/>
    </row>
    <row r="14" spans="1:9" s="52" customFormat="1" x14ac:dyDescent="0.2">
      <c r="A14" s="47"/>
    </row>
    <row r="15" spans="1:9" s="52" customFormat="1" x14ac:dyDescent="0.2">
      <c r="A15" s="52" t="s">
        <v>100</v>
      </c>
      <c r="C15" s="129">
        <v>50000</v>
      </c>
      <c r="F15" s="50" t="str">
        <f>IF(C15&gt;0,"","Error!  I would like to think you are making something for your trouble.")</f>
        <v/>
      </c>
    </row>
    <row r="16" spans="1:9" s="52" customFormat="1" x14ac:dyDescent="0.2">
      <c r="A16" s="47"/>
    </row>
    <row r="17" spans="1:11" ht="18.75" x14ac:dyDescent="0.3">
      <c r="B17" s="190" t="s">
        <v>97</v>
      </c>
      <c r="C17" s="190"/>
      <c r="D17" s="190"/>
      <c r="E17" s="132"/>
      <c r="F17" s="190" t="s">
        <v>102</v>
      </c>
      <c r="G17" s="190"/>
      <c r="H17" s="190"/>
    </row>
    <row r="18" spans="1:11" x14ac:dyDescent="0.2">
      <c r="E18" s="125"/>
      <c r="F18" s="125"/>
      <c r="G18" s="125"/>
    </row>
    <row r="19" spans="1:11" x14ac:dyDescent="0.2">
      <c r="A19" s="46"/>
      <c r="B19" s="56" t="s">
        <v>43</v>
      </c>
      <c r="C19" s="56" t="s">
        <v>1</v>
      </c>
      <c r="D19" s="134" t="s">
        <v>101</v>
      </c>
      <c r="E19" s="46"/>
      <c r="F19" s="56" t="s">
        <v>43</v>
      </c>
      <c r="G19" s="56" t="s">
        <v>1</v>
      </c>
      <c r="H19" s="134" t="s">
        <v>101</v>
      </c>
      <c r="I19" s="46"/>
      <c r="J19" s="46"/>
      <c r="K19" s="46"/>
    </row>
    <row r="20" spans="1:11" ht="12.75" customHeight="1" x14ac:dyDescent="0.2">
      <c r="A20" s="46"/>
      <c r="B20" s="135"/>
      <c r="C20" s="136" t="s">
        <v>126</v>
      </c>
      <c r="D20" s="137">
        <f>ROUND($C$15+($C$15*'Start Page'!$C$48),0)</f>
        <v>57530</v>
      </c>
      <c r="E20" s="46"/>
      <c r="F20" s="135"/>
      <c r="G20" s="136" t="s">
        <v>126</v>
      </c>
      <c r="H20" s="137">
        <f>ROUND($C$15+($C$15*'Start Page'!$C$48),0)</f>
        <v>57530</v>
      </c>
      <c r="I20" s="46"/>
      <c r="J20" s="46"/>
      <c r="K20" s="46"/>
    </row>
    <row r="21" spans="1:11" x14ac:dyDescent="0.2">
      <c r="A21" s="46"/>
      <c r="B21" s="135">
        <v>106</v>
      </c>
      <c r="C21" s="139" t="s">
        <v>41</v>
      </c>
      <c r="D21" s="140">
        <f>D22*106</f>
        <v>2212.2200000000003</v>
      </c>
      <c r="E21" s="46"/>
      <c r="F21" s="135">
        <v>80</v>
      </c>
      <c r="G21" s="141" t="s">
        <v>127</v>
      </c>
      <c r="H21" s="142">
        <f>H22*80</f>
        <v>2205.6</v>
      </c>
      <c r="I21" s="46"/>
      <c r="J21" s="46"/>
      <c r="K21" s="46"/>
    </row>
    <row r="22" spans="1:11" x14ac:dyDescent="0.2">
      <c r="A22" s="46"/>
      <c r="B22" s="135"/>
      <c r="C22" s="139" t="s">
        <v>13</v>
      </c>
      <c r="D22" s="140">
        <f>ROUND(D20/2756,2)</f>
        <v>20.87</v>
      </c>
      <c r="E22" s="46"/>
      <c r="F22" s="135"/>
      <c r="G22" s="141" t="s">
        <v>128</v>
      </c>
      <c r="H22" s="143">
        <f>ROUND(H20/2087,2)</f>
        <v>27.57</v>
      </c>
      <c r="I22" s="46"/>
      <c r="J22" s="46"/>
      <c r="K22" s="46"/>
    </row>
    <row r="23" spans="1:11" x14ac:dyDescent="0.2">
      <c r="A23" s="46"/>
      <c r="B23" s="144">
        <f>('Start Page'!$C$31-53)*2</f>
        <v>38</v>
      </c>
      <c r="C23" s="139" t="s">
        <v>42</v>
      </c>
      <c r="D23" s="140">
        <f>D24*B23</f>
        <v>1189.78</v>
      </c>
      <c r="E23" s="46"/>
      <c r="F23" s="135">
        <v>26</v>
      </c>
      <c r="G23" s="138" t="s">
        <v>41</v>
      </c>
      <c r="H23" s="140">
        <f>H24*26</f>
        <v>542.62</v>
      </c>
      <c r="I23" s="46"/>
      <c r="J23" s="46"/>
      <c r="K23" s="46"/>
    </row>
    <row r="24" spans="1:11" x14ac:dyDescent="0.2">
      <c r="A24" s="46"/>
      <c r="B24" s="135"/>
      <c r="C24" s="139" t="s">
        <v>14</v>
      </c>
      <c r="D24" s="140">
        <f>IF(ROUND(D22*1.5,2)&lt;'Shift Firefighters'!$G$122,ROUND(D22*1.5,2),IF('Shift Firefighters'!$G$122&lt;D22,D22,'Shift Firefighters'!$G$122))</f>
        <v>31.31</v>
      </c>
      <c r="E24" s="46"/>
      <c r="F24" s="135"/>
      <c r="G24" s="138" t="s">
        <v>13</v>
      </c>
      <c r="H24" s="140">
        <f>ROUND(H20/2756,2)</f>
        <v>20.87</v>
      </c>
      <c r="I24" s="46"/>
      <c r="J24" s="46"/>
      <c r="K24" s="46"/>
    </row>
    <row r="25" spans="1:11" x14ac:dyDescent="0.2">
      <c r="A25" s="46"/>
      <c r="B25" s="145"/>
      <c r="C25" s="146" t="s">
        <v>46</v>
      </c>
      <c r="D25" s="140">
        <f>ROUND(D22*'Start Page'!$F$48,2)*B26</f>
        <v>0</v>
      </c>
      <c r="E25" s="46"/>
      <c r="F25" s="144">
        <f>('Start Page'!$C$33-53)*2</f>
        <v>14</v>
      </c>
      <c r="G25" s="138" t="s">
        <v>42</v>
      </c>
      <c r="H25" s="140">
        <f>H26*F25</f>
        <v>438.34</v>
      </c>
      <c r="I25" s="46"/>
      <c r="J25" s="46"/>
      <c r="K25" s="46"/>
    </row>
    <row r="26" spans="1:11" x14ac:dyDescent="0.2">
      <c r="A26" s="46"/>
      <c r="B26" s="135">
        <f>B21+B23</f>
        <v>144</v>
      </c>
      <c r="C26" s="147" t="s">
        <v>17</v>
      </c>
      <c r="D26" s="148">
        <f>D21+D23+D25</f>
        <v>3402</v>
      </c>
      <c r="E26" s="46"/>
      <c r="F26" s="135"/>
      <c r="G26" s="138" t="s">
        <v>14</v>
      </c>
      <c r="H26" s="140">
        <f>IF(ROUND(H24*1.5,2)&lt;'Shift Firefighters'!$G$122,ROUND(H24*1.5,2),IF('Shift Firefighters'!$G$122&lt;H24,H24,'Shift Firefighters'!$G$122))</f>
        <v>31.31</v>
      </c>
      <c r="I26" s="46"/>
      <c r="J26" s="46"/>
      <c r="K26" s="46"/>
    </row>
    <row r="27" spans="1:11" x14ac:dyDescent="0.2">
      <c r="A27" s="46"/>
      <c r="B27" s="135"/>
      <c r="C27" s="147" t="s">
        <v>33</v>
      </c>
      <c r="D27" s="148">
        <f>D26*'Start Page'!$C$65</f>
        <v>88452</v>
      </c>
      <c r="E27" s="46"/>
      <c r="F27" s="145"/>
      <c r="G27" s="141" t="s">
        <v>46</v>
      </c>
      <c r="H27" s="140">
        <f>(ROUND(H22*'Start Page'!$F$48,2)*80)+(ROUND(H24*'Start Page'!$F$48,2)*(F28-80))</f>
        <v>0</v>
      </c>
      <c r="I27" s="46"/>
      <c r="J27" s="46"/>
      <c r="K27" s="46"/>
    </row>
    <row r="28" spans="1:11" x14ac:dyDescent="0.2">
      <c r="A28" s="46"/>
      <c r="B28" s="149"/>
      <c r="C28" s="150" t="s">
        <v>71</v>
      </c>
      <c r="D28" s="151">
        <f>D22*B26*'Start Page'!$C$65</f>
        <v>78137.279999999999</v>
      </c>
      <c r="E28" s="46"/>
      <c r="F28" s="135">
        <f>F21+F23+F25</f>
        <v>120</v>
      </c>
      <c r="G28" s="152" t="s">
        <v>17</v>
      </c>
      <c r="H28" s="148">
        <f>H21+H23+H25+H27</f>
        <v>3186.56</v>
      </c>
      <c r="I28" s="46"/>
      <c r="J28" s="46"/>
      <c r="K28" s="46"/>
    </row>
    <row r="29" spans="1:11" x14ac:dyDescent="0.2">
      <c r="A29" s="46"/>
      <c r="B29" s="46"/>
      <c r="C29" s="46"/>
      <c r="D29" s="46"/>
      <c r="E29" s="46"/>
      <c r="F29" s="135"/>
      <c r="G29" s="152" t="s">
        <v>33</v>
      </c>
      <c r="H29" s="148">
        <f>H28*'Start Page'!$C$65</f>
        <v>82850.559999999998</v>
      </c>
      <c r="I29" s="46"/>
      <c r="J29" s="46"/>
      <c r="K29" s="46"/>
    </row>
    <row r="30" spans="1:11" x14ac:dyDescent="0.2">
      <c r="A30" s="46"/>
      <c r="B30" s="46"/>
      <c r="C30" s="46"/>
      <c r="D30" s="46"/>
      <c r="E30" s="46"/>
      <c r="F30" s="149"/>
      <c r="G30" s="150" t="s">
        <v>71</v>
      </c>
      <c r="H30" s="153">
        <f>((H22*80)+(H24*(F28-80)))*'Start Page'!$C$65</f>
        <v>79050.400000000009</v>
      </c>
      <c r="I30" s="46"/>
      <c r="J30" s="46"/>
      <c r="K30" s="46"/>
    </row>
    <row r="31" spans="1:11" x14ac:dyDescent="0.2">
      <c r="A31" s="46"/>
      <c r="B31" s="46"/>
      <c r="C31" s="46"/>
      <c r="D31" s="46"/>
      <c r="E31" s="46"/>
      <c r="F31" s="46"/>
      <c r="G31" s="46"/>
      <c r="H31" s="46"/>
      <c r="I31" s="46"/>
      <c r="J31" s="46"/>
      <c r="K31" s="46"/>
    </row>
    <row r="32" spans="1:11" x14ac:dyDescent="0.2">
      <c r="A32" s="46"/>
      <c r="B32" s="46"/>
      <c r="C32" s="46"/>
      <c r="D32" s="46"/>
      <c r="E32" s="46"/>
      <c r="F32" s="46"/>
      <c r="G32" s="46"/>
      <c r="H32" s="46"/>
      <c r="I32" s="46"/>
      <c r="J32" s="46"/>
      <c r="K32" s="46"/>
    </row>
    <row r="33" spans="6:8" x14ac:dyDescent="0.2">
      <c r="F33" s="46"/>
      <c r="G33" s="46"/>
      <c r="H33" s="46"/>
    </row>
    <row r="34" spans="6:8" x14ac:dyDescent="0.2">
      <c r="F34" s="46"/>
      <c r="G34" s="46"/>
      <c r="H34" s="46"/>
    </row>
  </sheetData>
  <sheetProtection password="CCE4" sheet="1" objects="1" scenarios="1"/>
  <mergeCells count="9">
    <mergeCell ref="A1:I1"/>
    <mergeCell ref="A7:I7"/>
    <mergeCell ref="B17:D17"/>
    <mergeCell ref="F17:H17"/>
    <mergeCell ref="A5:I5"/>
    <mergeCell ref="D3:F3"/>
    <mergeCell ref="A9:I9"/>
    <mergeCell ref="A11:I11"/>
    <mergeCell ref="A13:I13"/>
  </mergeCells>
  <phoneticPr fontId="0" type="noConversion"/>
  <dataValidations count="1">
    <dataValidation type="decimal" allowBlank="1" showInputMessage="1" showErrorMessage="1" errorTitle="Invalid Information" error="Please check your number!" sqref="C15">
      <formula1>0</formula1>
      <formula2>200000</formula2>
    </dataValidation>
  </dataValidations>
  <hyperlinks>
    <hyperlink ref="D3" location="'Start Page'!C4" display="Return to Start Page"/>
    <hyperlink ref="D3:F3" location="'Start Page'!C19" display="Return to Start Page"/>
  </hyperlinks>
  <pageMargins left="0.75" right="0.75" top="1" bottom="1" header="0.5" footer="0.5"/>
  <pageSetup scale="93" orientation="landscape" horizontalDpi="300" verticalDpi="300" r:id="rId1"/>
  <headerFooter alignWithMargins="0"/>
  <legacyDrawing r:id="rId2"/>
  <picture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4"/>
  <sheetViews>
    <sheetView showGridLines="0" workbookViewId="0">
      <selection activeCell="F6" sqref="F6:G6"/>
    </sheetView>
  </sheetViews>
  <sheetFormatPr defaultRowHeight="12.75" x14ac:dyDescent="0.2"/>
  <cols>
    <col min="1" max="1" width="9.140625" style="31"/>
    <col min="2" max="11" width="12.28515625" style="31" customWidth="1"/>
    <col min="12" max="16384" width="9.140625" style="31"/>
  </cols>
  <sheetData>
    <row r="1" spans="1:11" s="7" customFormat="1" ht="25.5" customHeight="1" x14ac:dyDescent="0.4">
      <c r="D1" s="8">
        <f>'Start Page'!$C$63</f>
        <v>2017</v>
      </c>
      <c r="E1" s="9" t="s">
        <v>37</v>
      </c>
    </row>
    <row r="2" spans="1:11" s="7" customFormat="1" ht="25.5" customHeight="1" x14ac:dyDescent="0.25">
      <c r="A2" s="198" t="str">
        <f>"Locality/COLA Area: "&amp;'Start Page'!C46</f>
        <v>Locality/COLA Area: Rest of the United States</v>
      </c>
      <c r="B2" s="198"/>
      <c r="C2" s="198"/>
      <c r="D2" s="198"/>
      <c r="E2" s="198"/>
      <c r="F2" s="198"/>
      <c r="G2" s="198"/>
      <c r="H2" s="198"/>
      <c r="I2" s="198"/>
      <c r="J2" s="198"/>
      <c r="K2" s="198"/>
    </row>
    <row r="3" spans="1:11" x14ac:dyDescent="0.2">
      <c r="E3" s="38"/>
      <c r="F3" s="39" t="s">
        <v>67</v>
      </c>
      <c r="G3" s="82">
        <f>'Start Page'!C48</f>
        <v>0.15060000000000001</v>
      </c>
      <c r="H3" s="40"/>
    </row>
    <row r="4" spans="1:11" x14ac:dyDescent="0.2">
      <c r="E4" s="38"/>
      <c r="F4" s="39" t="s">
        <v>96</v>
      </c>
      <c r="G4" s="82">
        <f>'Start Page'!F48</f>
        <v>0</v>
      </c>
      <c r="H4" s="40"/>
    </row>
    <row r="5" spans="1:11" x14ac:dyDescent="0.2">
      <c r="E5" s="194" t="str">
        <f>IF(D1='GS Pay Calculator'!B2,"","Warning! These pay figures are now estimates only!")</f>
        <v/>
      </c>
      <c r="F5" s="194"/>
      <c r="G5" s="194"/>
      <c r="H5" s="194"/>
    </row>
    <row r="6" spans="1:11" x14ac:dyDescent="0.2">
      <c r="E6" s="38"/>
      <c r="F6" s="195" t="s">
        <v>95</v>
      </c>
      <c r="G6" s="195"/>
      <c r="H6" s="40"/>
    </row>
    <row r="7" spans="1:11" ht="12.75" customHeight="1" x14ac:dyDescent="0.2">
      <c r="A7" s="41" t="s">
        <v>27</v>
      </c>
      <c r="B7" s="196" t="s">
        <v>28</v>
      </c>
      <c r="C7" s="197"/>
      <c r="D7" s="197"/>
      <c r="E7" s="197"/>
      <c r="F7" s="197"/>
      <c r="G7" s="197"/>
      <c r="H7" s="197"/>
      <c r="I7" s="197"/>
      <c r="J7" s="197"/>
      <c r="K7" s="197"/>
    </row>
    <row r="8" spans="1:11" x14ac:dyDescent="0.2">
      <c r="A8" s="42" t="s">
        <v>29</v>
      </c>
      <c r="B8" s="43">
        <v>1</v>
      </c>
      <c r="C8" s="43">
        <v>2</v>
      </c>
      <c r="D8" s="43">
        <v>3</v>
      </c>
      <c r="E8" s="43">
        <v>4</v>
      </c>
      <c r="F8" s="43">
        <v>5</v>
      </c>
      <c r="G8" s="43">
        <v>6</v>
      </c>
      <c r="H8" s="43">
        <v>7</v>
      </c>
      <c r="I8" s="43">
        <v>8</v>
      </c>
      <c r="J8" s="43">
        <v>9</v>
      </c>
      <c r="K8" s="43">
        <v>10</v>
      </c>
    </row>
    <row r="9" spans="1:11" x14ac:dyDescent="0.2">
      <c r="A9" s="44">
        <v>3</v>
      </c>
      <c r="B9" s="60">
        <f>ROUND('GS Pay - No Locality'!B4+('GS Pay - No Locality'!B4*$G$3),0)</f>
        <v>26150</v>
      </c>
      <c r="C9" s="60">
        <f>ROUND('GS Pay - No Locality'!C4+('GS Pay - No Locality'!C4*$G$3),0)</f>
        <v>27022</v>
      </c>
      <c r="D9" s="60">
        <f>ROUND('GS Pay - No Locality'!D4+('GS Pay - No Locality'!D4*$G$3),0)</f>
        <v>27894</v>
      </c>
      <c r="E9" s="60">
        <f>ROUND('GS Pay - No Locality'!E4+('GS Pay - No Locality'!E4*$G$3),0)</f>
        <v>28766</v>
      </c>
      <c r="F9" s="60">
        <f>ROUND('GS Pay - No Locality'!F4+('GS Pay - No Locality'!F4*$G$3),0)</f>
        <v>29638</v>
      </c>
      <c r="G9" s="60">
        <f>ROUND('GS Pay - No Locality'!G4+('GS Pay - No Locality'!G4*$G$3),0)</f>
        <v>30510</v>
      </c>
      <c r="H9" s="60">
        <f>ROUND('GS Pay - No Locality'!H4+('GS Pay - No Locality'!H4*$G$3),0)</f>
        <v>31383</v>
      </c>
      <c r="I9" s="60">
        <f>ROUND('GS Pay - No Locality'!I4+('GS Pay - No Locality'!I4*$G$3),0)</f>
        <v>32255</v>
      </c>
      <c r="J9" s="60">
        <f>ROUND('GS Pay - No Locality'!J4+('GS Pay - No Locality'!J4*$G$3),0)</f>
        <v>33127</v>
      </c>
      <c r="K9" s="60">
        <f>ROUND('GS Pay - No Locality'!K4+('GS Pay - No Locality'!K4*$G$3),0)</f>
        <v>33999</v>
      </c>
    </row>
    <row r="10" spans="1:11" x14ac:dyDescent="0.2">
      <c r="A10" s="44">
        <v>4</v>
      </c>
      <c r="B10" s="60">
        <f>ROUND('GS Pay - No Locality'!B5+('GS Pay - No Locality'!B5*$G$3),0)</f>
        <v>29356</v>
      </c>
      <c r="C10" s="60">
        <f>ROUND('GS Pay - No Locality'!C5+('GS Pay - No Locality'!C5*$G$3),0)</f>
        <v>30334</v>
      </c>
      <c r="D10" s="60">
        <f>ROUND('GS Pay - No Locality'!D5+('GS Pay - No Locality'!D5*$G$3),0)</f>
        <v>31312</v>
      </c>
      <c r="E10" s="60">
        <f>ROUND('GS Pay - No Locality'!E5+('GS Pay - No Locality'!E5*$G$3),0)</f>
        <v>32290</v>
      </c>
      <c r="F10" s="60">
        <f>ROUND('GS Pay - No Locality'!F5+('GS Pay - No Locality'!F5*$G$3),0)</f>
        <v>33268</v>
      </c>
      <c r="G10" s="60">
        <f>ROUND('GS Pay - No Locality'!G5+('GS Pay - No Locality'!G5*$G$3),0)</f>
        <v>34246</v>
      </c>
      <c r="H10" s="60">
        <f>ROUND('GS Pay - No Locality'!H5+('GS Pay - No Locality'!H5*$G$3),0)</f>
        <v>35224</v>
      </c>
      <c r="I10" s="60">
        <f>ROUND('GS Pay - No Locality'!I5+('GS Pay - No Locality'!I5*$G$3),0)</f>
        <v>36202</v>
      </c>
      <c r="J10" s="60">
        <f>ROUND('GS Pay - No Locality'!J5+('GS Pay - No Locality'!J5*$G$3),0)</f>
        <v>37180</v>
      </c>
      <c r="K10" s="60">
        <f>ROUND('GS Pay - No Locality'!K5+('GS Pay - No Locality'!K5*$G$3),0)</f>
        <v>38158</v>
      </c>
    </row>
    <row r="11" spans="1:11" x14ac:dyDescent="0.2">
      <c r="A11" s="44">
        <v>5</v>
      </c>
      <c r="B11" s="60">
        <f>ROUND('GS Pay - No Locality'!B6+('GS Pay - No Locality'!B6*$G$3),0)</f>
        <v>32844</v>
      </c>
      <c r="C11" s="60">
        <f>ROUND('GS Pay - No Locality'!C6+('GS Pay - No Locality'!C6*$G$3),0)</f>
        <v>33939</v>
      </c>
      <c r="D11" s="60">
        <f>ROUND('GS Pay - No Locality'!D6+('GS Pay - No Locality'!D6*$G$3),0)</f>
        <v>35035</v>
      </c>
      <c r="E11" s="60">
        <f>ROUND('GS Pay - No Locality'!E6+('GS Pay - No Locality'!E6*$G$3),0)</f>
        <v>36130</v>
      </c>
      <c r="F11" s="60">
        <f>ROUND('GS Pay - No Locality'!F6+('GS Pay - No Locality'!F6*$G$3),0)</f>
        <v>37225</v>
      </c>
      <c r="G11" s="60">
        <f>ROUND('GS Pay - No Locality'!G6+('GS Pay - No Locality'!G6*$G$3),0)</f>
        <v>38321</v>
      </c>
      <c r="H11" s="60">
        <f>ROUND('GS Pay - No Locality'!H6+('GS Pay - No Locality'!H6*$G$3),0)</f>
        <v>39416</v>
      </c>
      <c r="I11" s="60">
        <f>ROUND('GS Pay - No Locality'!I6+('GS Pay - No Locality'!I6*$G$3),0)</f>
        <v>40511</v>
      </c>
      <c r="J11" s="60">
        <f>ROUND('GS Pay - No Locality'!J6+('GS Pay - No Locality'!J6*$G$3),0)</f>
        <v>41607</v>
      </c>
      <c r="K11" s="60">
        <f>ROUND('GS Pay - No Locality'!K6+('GS Pay - No Locality'!K6*$G$3),0)</f>
        <v>42702</v>
      </c>
    </row>
    <row r="12" spans="1:11" x14ac:dyDescent="0.2">
      <c r="A12" s="44">
        <v>6</v>
      </c>
      <c r="B12" s="60">
        <f>ROUND('GS Pay - No Locality'!B7+('GS Pay - No Locality'!B7*$G$3),0)</f>
        <v>36611</v>
      </c>
      <c r="C12" s="60">
        <f>ROUND('GS Pay - No Locality'!C7+('GS Pay - No Locality'!C7*$G$3),0)</f>
        <v>37832</v>
      </c>
      <c r="D12" s="60">
        <f>ROUND('GS Pay - No Locality'!D7+('GS Pay - No Locality'!D7*$G$3),0)</f>
        <v>39053</v>
      </c>
      <c r="E12" s="60">
        <f>ROUND('GS Pay - No Locality'!E7+('GS Pay - No Locality'!E7*$G$3),0)</f>
        <v>40273</v>
      </c>
      <c r="F12" s="60">
        <f>ROUND('GS Pay - No Locality'!F7+('GS Pay - No Locality'!F7*$G$3),0)</f>
        <v>41494</v>
      </c>
      <c r="G12" s="60">
        <f>ROUND('GS Pay - No Locality'!G7+('GS Pay - No Locality'!G7*$G$3),0)</f>
        <v>42715</v>
      </c>
      <c r="H12" s="60">
        <f>ROUND('GS Pay - No Locality'!H7+('GS Pay - No Locality'!H7*$G$3),0)</f>
        <v>43936</v>
      </c>
      <c r="I12" s="60">
        <f>ROUND('GS Pay - No Locality'!I7+('GS Pay - No Locality'!I7*$G$3),0)</f>
        <v>45156</v>
      </c>
      <c r="J12" s="60">
        <f>ROUND('GS Pay - No Locality'!J7+('GS Pay - No Locality'!J7*$G$3),0)</f>
        <v>46377</v>
      </c>
      <c r="K12" s="60">
        <f>ROUND('GS Pay - No Locality'!K7+('GS Pay - No Locality'!K7*$G$3),0)</f>
        <v>47598</v>
      </c>
    </row>
    <row r="13" spans="1:11" x14ac:dyDescent="0.2">
      <c r="A13" s="44">
        <v>7</v>
      </c>
      <c r="B13" s="60">
        <f>ROUND('GS Pay - No Locality'!B8+('GS Pay - No Locality'!B8*$G$3),0)</f>
        <v>40684</v>
      </c>
      <c r="C13" s="60">
        <f>ROUND('GS Pay - No Locality'!C8+('GS Pay - No Locality'!C8*$G$3),0)</f>
        <v>42041</v>
      </c>
      <c r="D13" s="60">
        <f>ROUND('GS Pay - No Locality'!D8+('GS Pay - No Locality'!D8*$G$3),0)</f>
        <v>43397</v>
      </c>
      <c r="E13" s="60">
        <f>ROUND('GS Pay - No Locality'!E8+('GS Pay - No Locality'!E8*$G$3),0)</f>
        <v>44754</v>
      </c>
      <c r="F13" s="60">
        <f>ROUND('GS Pay - No Locality'!F8+('GS Pay - No Locality'!F8*$G$3),0)</f>
        <v>46110</v>
      </c>
      <c r="G13" s="60">
        <f>ROUND('GS Pay - No Locality'!G8+('GS Pay - No Locality'!G8*$G$3),0)</f>
        <v>47467</v>
      </c>
      <c r="H13" s="60">
        <f>ROUND('GS Pay - No Locality'!H8+('GS Pay - No Locality'!H8*$G$3),0)</f>
        <v>48823</v>
      </c>
      <c r="I13" s="60">
        <f>ROUND('GS Pay - No Locality'!I8+('GS Pay - No Locality'!I8*$G$3),0)</f>
        <v>50180</v>
      </c>
      <c r="J13" s="60">
        <f>ROUND('GS Pay - No Locality'!J8+('GS Pay - No Locality'!J8*$G$3),0)</f>
        <v>51537</v>
      </c>
      <c r="K13" s="60">
        <f>ROUND('GS Pay - No Locality'!K8+('GS Pay - No Locality'!K8*$G$3),0)</f>
        <v>52893</v>
      </c>
    </row>
    <row r="14" spans="1:11" x14ac:dyDescent="0.2">
      <c r="A14" s="44">
        <v>8</v>
      </c>
      <c r="B14" s="60">
        <f>ROUND('GS Pay - No Locality'!B9+('GS Pay - No Locality'!B9*$G$3),0)</f>
        <v>45056</v>
      </c>
      <c r="C14" s="60">
        <f>ROUND('GS Pay - No Locality'!C9+('GS Pay - No Locality'!C9*$G$3),0)</f>
        <v>46558</v>
      </c>
      <c r="D14" s="60">
        <f>ROUND('GS Pay - No Locality'!D9+('GS Pay - No Locality'!D9*$G$3),0)</f>
        <v>48059</v>
      </c>
      <c r="E14" s="60">
        <f>ROUND('GS Pay - No Locality'!E9+('GS Pay - No Locality'!E9*$G$3),0)</f>
        <v>49561</v>
      </c>
      <c r="F14" s="60">
        <f>ROUND('GS Pay - No Locality'!F9+('GS Pay - No Locality'!F9*$G$3),0)</f>
        <v>51062</v>
      </c>
      <c r="G14" s="60">
        <f>ROUND('GS Pay - No Locality'!G9+('GS Pay - No Locality'!G9*$G$3),0)</f>
        <v>52564</v>
      </c>
      <c r="H14" s="60">
        <f>ROUND('GS Pay - No Locality'!H9+('GS Pay - No Locality'!H9*$G$3),0)</f>
        <v>54066</v>
      </c>
      <c r="I14" s="60">
        <f>ROUND('GS Pay - No Locality'!I9+('GS Pay - No Locality'!I9*$G$3),0)</f>
        <v>55567</v>
      </c>
      <c r="J14" s="60">
        <f>ROUND('GS Pay - No Locality'!J9+('GS Pay - No Locality'!J9*$G$3),0)</f>
        <v>57069</v>
      </c>
      <c r="K14" s="60">
        <f>ROUND('GS Pay - No Locality'!K9+('GS Pay - No Locality'!K9*$G$3),0)</f>
        <v>58570</v>
      </c>
    </row>
    <row r="15" spans="1:11" x14ac:dyDescent="0.2">
      <c r="A15" s="44">
        <v>9</v>
      </c>
      <c r="B15" s="60">
        <f>ROUND('GS Pay - No Locality'!B10+('GS Pay - No Locality'!B10*$G$3),0)</f>
        <v>49765</v>
      </c>
      <c r="C15" s="60">
        <f>ROUND('GS Pay - No Locality'!C10+('GS Pay - No Locality'!C10*$G$3),0)</f>
        <v>51424</v>
      </c>
      <c r="D15" s="60">
        <f>ROUND('GS Pay - No Locality'!D10+('GS Pay - No Locality'!D10*$G$3),0)</f>
        <v>53083</v>
      </c>
      <c r="E15" s="60">
        <f>ROUND('GS Pay - No Locality'!E10+('GS Pay - No Locality'!E10*$G$3),0)</f>
        <v>54742</v>
      </c>
      <c r="F15" s="60">
        <f>ROUND('GS Pay - No Locality'!F10+('GS Pay - No Locality'!F10*$G$3),0)</f>
        <v>56401</v>
      </c>
      <c r="G15" s="60">
        <f>ROUND('GS Pay - No Locality'!G10+('GS Pay - No Locality'!G10*$G$3),0)</f>
        <v>58060</v>
      </c>
      <c r="H15" s="60">
        <f>ROUND('GS Pay - No Locality'!H10+('GS Pay - No Locality'!H10*$G$3),0)</f>
        <v>59720</v>
      </c>
      <c r="I15" s="60">
        <f>ROUND('GS Pay - No Locality'!I10+('GS Pay - No Locality'!I10*$G$3),0)</f>
        <v>61379</v>
      </c>
      <c r="J15" s="60">
        <f>ROUND('GS Pay - No Locality'!J10+('GS Pay - No Locality'!J10*$G$3),0)</f>
        <v>63038</v>
      </c>
      <c r="K15" s="60">
        <f>ROUND('GS Pay - No Locality'!K10+('GS Pay - No Locality'!K10*$G$3),0)</f>
        <v>64697</v>
      </c>
    </row>
    <row r="16" spans="1:11" x14ac:dyDescent="0.2">
      <c r="A16" s="44">
        <v>10</v>
      </c>
      <c r="B16" s="60">
        <f>ROUND('GS Pay - No Locality'!B11+('GS Pay - No Locality'!B11*$G$3),0)</f>
        <v>54803</v>
      </c>
      <c r="C16" s="60">
        <f>ROUND('GS Pay - No Locality'!C11+('GS Pay - No Locality'!C11*$G$3),0)</f>
        <v>56630</v>
      </c>
      <c r="D16" s="60">
        <f>ROUND('GS Pay - No Locality'!D11+('GS Pay - No Locality'!D11*$G$3),0)</f>
        <v>58457</v>
      </c>
      <c r="E16" s="60">
        <f>ROUND('GS Pay - No Locality'!E11+('GS Pay - No Locality'!E11*$G$3),0)</f>
        <v>60285</v>
      </c>
      <c r="F16" s="60">
        <f>ROUND('GS Pay - No Locality'!F11+('GS Pay - No Locality'!F11*$G$3),0)</f>
        <v>62112</v>
      </c>
      <c r="G16" s="60">
        <f>ROUND('GS Pay - No Locality'!G11+('GS Pay - No Locality'!G11*$G$3),0)</f>
        <v>63939</v>
      </c>
      <c r="H16" s="60">
        <f>ROUND('GS Pay - No Locality'!H11+('GS Pay - No Locality'!H11*$G$3),0)</f>
        <v>65766</v>
      </c>
      <c r="I16" s="60">
        <f>ROUND('GS Pay - No Locality'!I11+('GS Pay - No Locality'!I11*$G$3),0)</f>
        <v>67593</v>
      </c>
      <c r="J16" s="60">
        <f>ROUND('GS Pay - No Locality'!J11+('GS Pay - No Locality'!J11*$G$3),0)</f>
        <v>69420</v>
      </c>
      <c r="K16" s="60">
        <f>ROUND('GS Pay - No Locality'!K11+('GS Pay - No Locality'!K11*$G$3),0)</f>
        <v>71247</v>
      </c>
    </row>
    <row r="17" spans="1:11" x14ac:dyDescent="0.2">
      <c r="A17" s="44">
        <v>11</v>
      </c>
      <c r="B17" s="60">
        <f>ROUND('GS Pay - No Locality'!B12+('GS Pay - No Locality'!B12*$G$3),0)</f>
        <v>60210</v>
      </c>
      <c r="C17" s="60">
        <f>ROUND('GS Pay - No Locality'!C12+('GS Pay - No Locality'!C12*$G$3),0)</f>
        <v>62216</v>
      </c>
      <c r="D17" s="60">
        <f>ROUND('GS Pay - No Locality'!D12+('GS Pay - No Locality'!D12*$G$3),0)</f>
        <v>64223</v>
      </c>
      <c r="E17" s="60">
        <f>ROUND('GS Pay - No Locality'!E12+('GS Pay - No Locality'!E12*$G$3),0)</f>
        <v>66230</v>
      </c>
      <c r="F17" s="60">
        <f>ROUND('GS Pay - No Locality'!F12+('GS Pay - No Locality'!F12*$G$3),0)</f>
        <v>68236</v>
      </c>
      <c r="G17" s="60">
        <f>ROUND('GS Pay - No Locality'!G12+('GS Pay - No Locality'!G12*$G$3),0)</f>
        <v>70243</v>
      </c>
      <c r="H17" s="60">
        <f>ROUND('GS Pay - No Locality'!H12+('GS Pay - No Locality'!H12*$G$3),0)</f>
        <v>72250</v>
      </c>
      <c r="I17" s="60">
        <f>ROUND('GS Pay - No Locality'!I12+('GS Pay - No Locality'!I12*$G$3),0)</f>
        <v>74256</v>
      </c>
      <c r="J17" s="60">
        <f>ROUND('GS Pay - No Locality'!J12+('GS Pay - No Locality'!J12*$G$3),0)</f>
        <v>76263</v>
      </c>
      <c r="K17" s="60">
        <f>ROUND('GS Pay - No Locality'!K12+('GS Pay - No Locality'!K12*$G$3),0)</f>
        <v>78270</v>
      </c>
    </row>
    <row r="18" spans="1:11" x14ac:dyDescent="0.2">
      <c r="A18" s="44">
        <v>12</v>
      </c>
      <c r="B18" s="60">
        <f>ROUND('GS Pay - No Locality'!B13+('GS Pay - No Locality'!B13*$G$3),0)</f>
        <v>72168</v>
      </c>
      <c r="C18" s="60">
        <f>ROUND('GS Pay - No Locality'!C13+('GS Pay - No Locality'!C13*$G$3),0)</f>
        <v>74574</v>
      </c>
      <c r="D18" s="60">
        <f>ROUND('GS Pay - No Locality'!D13+('GS Pay - No Locality'!D13*$G$3),0)</f>
        <v>76980</v>
      </c>
      <c r="E18" s="60">
        <f>ROUND('GS Pay - No Locality'!E13+('GS Pay - No Locality'!E13*$G$3),0)</f>
        <v>79386</v>
      </c>
      <c r="F18" s="60">
        <f>ROUND('GS Pay - No Locality'!F13+('GS Pay - No Locality'!F13*$G$3),0)</f>
        <v>81792</v>
      </c>
      <c r="G18" s="60">
        <f>ROUND('GS Pay - No Locality'!G13+('GS Pay - No Locality'!G13*$G$3),0)</f>
        <v>84197</v>
      </c>
      <c r="H18" s="60">
        <f>ROUND('GS Pay - No Locality'!H13+('GS Pay - No Locality'!H13*$G$3),0)</f>
        <v>86603</v>
      </c>
      <c r="I18" s="60">
        <f>ROUND('GS Pay - No Locality'!I13+('GS Pay - No Locality'!I13*$G$3),0)</f>
        <v>89009</v>
      </c>
      <c r="J18" s="60">
        <f>ROUND('GS Pay - No Locality'!J13+('GS Pay - No Locality'!J13*$G$3),0)</f>
        <v>91415</v>
      </c>
      <c r="K18" s="60">
        <f>ROUND('GS Pay - No Locality'!K13+('GS Pay - No Locality'!K13*$G$3),0)</f>
        <v>93821</v>
      </c>
    </row>
    <row r="19" spans="1:11" x14ac:dyDescent="0.2">
      <c r="A19" s="44">
        <v>13</v>
      </c>
      <c r="B19" s="60">
        <f>ROUND('GS Pay - No Locality'!B14+('GS Pay - No Locality'!B14*$G$3),0)</f>
        <v>85816</v>
      </c>
      <c r="C19" s="60">
        <f>ROUND('GS Pay - No Locality'!C14+('GS Pay - No Locality'!C14*$G$3),0)</f>
        <v>88677</v>
      </c>
      <c r="D19" s="60">
        <f>ROUND('GS Pay - No Locality'!D14+('GS Pay - No Locality'!D14*$G$3),0)</f>
        <v>91537</v>
      </c>
      <c r="E19" s="60">
        <f>ROUND('GS Pay - No Locality'!E14+('GS Pay - No Locality'!E14*$G$3),0)</f>
        <v>94398</v>
      </c>
      <c r="F19" s="60">
        <f>ROUND('GS Pay - No Locality'!F14+('GS Pay - No Locality'!F14*$G$3),0)</f>
        <v>97258</v>
      </c>
      <c r="G19" s="60">
        <f>ROUND('GS Pay - No Locality'!G14+('GS Pay - No Locality'!G14*$G$3),0)</f>
        <v>100118</v>
      </c>
      <c r="H19" s="60">
        <f>ROUND('GS Pay - No Locality'!H14+('GS Pay - No Locality'!H14*$G$3),0)</f>
        <v>102979</v>
      </c>
      <c r="I19" s="60">
        <f>ROUND('GS Pay - No Locality'!I14+('GS Pay - No Locality'!I14*$G$3),0)</f>
        <v>105839</v>
      </c>
      <c r="J19" s="60">
        <f>ROUND('GS Pay - No Locality'!J14+('GS Pay - No Locality'!J14*$G$3),0)</f>
        <v>108699</v>
      </c>
      <c r="K19" s="60">
        <f>ROUND('GS Pay - No Locality'!K14+('GS Pay - No Locality'!K14*$G$3),0)</f>
        <v>111560</v>
      </c>
    </row>
    <row r="20" spans="1:11" x14ac:dyDescent="0.2">
      <c r="A20" s="44">
        <v>14</v>
      </c>
      <c r="B20" s="60">
        <f>ROUND('GS Pay - No Locality'!B15+('GS Pay - No Locality'!B15*$G$3),0)</f>
        <v>101409</v>
      </c>
      <c r="C20" s="60">
        <f>ROUND('GS Pay - No Locality'!C15+('GS Pay - No Locality'!C15*$G$3),0)</f>
        <v>104790</v>
      </c>
      <c r="D20" s="60">
        <f>ROUND('GS Pay - No Locality'!D15+('GS Pay - No Locality'!D15*$G$3),0)</f>
        <v>108170</v>
      </c>
      <c r="E20" s="60">
        <f>ROUND('GS Pay - No Locality'!E15+('GS Pay - No Locality'!E15*$G$3),0)</f>
        <v>111551</v>
      </c>
      <c r="F20" s="60">
        <f>ROUND('GS Pay - No Locality'!F15+('GS Pay - No Locality'!F15*$G$3),0)</f>
        <v>114931</v>
      </c>
      <c r="G20" s="60">
        <f>ROUND('GS Pay - No Locality'!G15+('GS Pay - No Locality'!G15*$G$3),0)</f>
        <v>118312</v>
      </c>
      <c r="H20" s="60">
        <f>ROUND('GS Pay - No Locality'!H15+('GS Pay - No Locality'!H15*$G$3),0)</f>
        <v>121692</v>
      </c>
      <c r="I20" s="60">
        <f>ROUND('GS Pay - No Locality'!I15+('GS Pay - No Locality'!I15*$G$3),0)</f>
        <v>125073</v>
      </c>
      <c r="J20" s="60">
        <f>ROUND('GS Pay - No Locality'!J15+('GS Pay - No Locality'!J15*$G$3),0)</f>
        <v>128453</v>
      </c>
      <c r="K20" s="60">
        <f>ROUND('GS Pay - No Locality'!K15+('GS Pay - No Locality'!K15*$G$3),0)</f>
        <v>131833</v>
      </c>
    </row>
    <row r="21" spans="1:11" x14ac:dyDescent="0.2">
      <c r="A21" s="28"/>
    </row>
    <row r="22" spans="1:11" ht="12.75" customHeight="1" x14ac:dyDescent="0.2">
      <c r="A22" s="7"/>
      <c r="B22" s="7"/>
      <c r="C22" s="7"/>
      <c r="D22" s="7"/>
      <c r="E22" s="7"/>
      <c r="F22" s="7"/>
      <c r="G22" s="7"/>
      <c r="H22" s="7"/>
      <c r="I22" s="7"/>
      <c r="J22" s="7"/>
      <c r="K22" s="7"/>
    </row>
    <row r="23" spans="1:11" x14ac:dyDescent="0.2">
      <c r="A23" s="93" t="s">
        <v>76</v>
      </c>
      <c r="B23" s="7"/>
      <c r="C23" s="7"/>
      <c r="D23" s="7"/>
      <c r="E23" s="7"/>
      <c r="F23" s="7"/>
      <c r="G23" s="7"/>
      <c r="H23" s="7"/>
      <c r="I23" s="7"/>
      <c r="J23" s="7"/>
      <c r="K23" s="7"/>
    </row>
    <row r="24" spans="1:11" x14ac:dyDescent="0.2">
      <c r="A24" s="7"/>
      <c r="B24" s="7"/>
      <c r="C24" s="7"/>
      <c r="D24" s="7"/>
      <c r="E24" s="7"/>
      <c r="F24" s="7"/>
      <c r="G24" s="7"/>
      <c r="H24" s="7"/>
      <c r="I24" s="7"/>
      <c r="J24" s="7"/>
      <c r="K24" s="7"/>
    </row>
    <row r="25" spans="1:11" x14ac:dyDescent="0.2">
      <c r="A25" s="7"/>
      <c r="B25" s="7"/>
      <c r="C25" s="7"/>
      <c r="D25" s="7"/>
      <c r="E25" s="7"/>
      <c r="F25" s="7"/>
      <c r="G25" s="7"/>
      <c r="H25" s="7"/>
      <c r="I25" s="7"/>
      <c r="J25" s="7"/>
      <c r="K25" s="7"/>
    </row>
    <row r="26" spans="1:11" x14ac:dyDescent="0.2">
      <c r="A26" s="7"/>
      <c r="B26" s="7"/>
      <c r="C26" s="7"/>
      <c r="D26" s="7"/>
      <c r="E26" s="7"/>
      <c r="F26" s="7"/>
      <c r="G26" s="7"/>
      <c r="H26" s="7"/>
      <c r="I26" s="7"/>
      <c r="J26" s="7"/>
      <c r="K26" s="7"/>
    </row>
    <row r="27" spans="1:11" x14ac:dyDescent="0.2">
      <c r="A27" s="7"/>
      <c r="B27" s="7"/>
      <c r="C27" s="7"/>
      <c r="D27" s="7"/>
      <c r="E27" s="7"/>
      <c r="F27" s="7"/>
      <c r="G27" s="7"/>
      <c r="H27" s="7"/>
      <c r="I27" s="7"/>
      <c r="J27" s="7"/>
      <c r="K27" s="7"/>
    </row>
    <row r="28" spans="1:11" x14ac:dyDescent="0.2">
      <c r="A28" s="7"/>
      <c r="B28" s="7"/>
      <c r="C28" s="7"/>
      <c r="D28" s="7"/>
      <c r="E28" s="7"/>
      <c r="F28" s="7"/>
      <c r="G28" s="7"/>
      <c r="H28" s="7"/>
      <c r="I28" s="7"/>
      <c r="J28" s="7"/>
      <c r="K28" s="7"/>
    </row>
    <row r="29" spans="1:11" x14ac:dyDescent="0.2">
      <c r="A29" s="7"/>
      <c r="B29" s="7"/>
      <c r="C29" s="7"/>
      <c r="D29" s="7"/>
      <c r="E29" s="7"/>
      <c r="F29" s="7"/>
      <c r="G29" s="7"/>
      <c r="H29" s="7"/>
      <c r="I29" s="7"/>
      <c r="J29" s="7"/>
      <c r="K29" s="7"/>
    </row>
    <row r="30" spans="1:11" x14ac:dyDescent="0.2">
      <c r="A30" s="7"/>
      <c r="B30" s="7"/>
      <c r="C30" s="7"/>
      <c r="D30" s="7"/>
      <c r="E30" s="7"/>
      <c r="F30" s="7"/>
      <c r="G30" s="7"/>
      <c r="H30" s="7"/>
      <c r="I30" s="7"/>
      <c r="J30" s="7"/>
      <c r="K30" s="7"/>
    </row>
    <row r="31" spans="1:11" x14ac:dyDescent="0.2">
      <c r="A31" s="7"/>
      <c r="B31" s="7"/>
      <c r="C31" s="7"/>
      <c r="D31" s="7"/>
      <c r="E31" s="7"/>
      <c r="F31" s="7"/>
      <c r="G31" s="7"/>
      <c r="H31" s="7"/>
      <c r="I31" s="7"/>
      <c r="J31" s="7"/>
      <c r="K31" s="7"/>
    </row>
    <row r="32" spans="1:11" x14ac:dyDescent="0.2">
      <c r="A32" s="7"/>
      <c r="B32" s="7"/>
      <c r="C32" s="7"/>
      <c r="D32" s="7"/>
      <c r="E32" s="7"/>
      <c r="F32" s="7"/>
      <c r="G32" s="7"/>
      <c r="H32" s="7"/>
      <c r="I32" s="7"/>
      <c r="J32" s="7"/>
      <c r="K32" s="7"/>
    </row>
    <row r="33" spans="1:11" x14ac:dyDescent="0.2">
      <c r="A33" s="7"/>
      <c r="B33" s="7"/>
      <c r="C33" s="7"/>
      <c r="D33" s="7"/>
      <c r="E33" s="7"/>
      <c r="F33" s="7"/>
      <c r="G33" s="7"/>
      <c r="H33" s="7"/>
      <c r="I33" s="7"/>
      <c r="J33" s="7"/>
      <c r="K33" s="7"/>
    </row>
    <row r="34" spans="1:11" x14ac:dyDescent="0.2">
      <c r="A34" s="7"/>
      <c r="B34" s="7"/>
      <c r="C34" s="7"/>
      <c r="D34" s="7"/>
      <c r="E34" s="7"/>
      <c r="F34" s="7"/>
      <c r="G34" s="7"/>
      <c r="H34" s="7"/>
      <c r="I34" s="7"/>
      <c r="J34" s="7"/>
      <c r="K34" s="7"/>
    </row>
  </sheetData>
  <sheetProtection password="CCE4" sheet="1" objects="1" scenarios="1"/>
  <mergeCells count="4">
    <mergeCell ref="E5:H5"/>
    <mergeCell ref="F6:G6"/>
    <mergeCell ref="B7:K7"/>
    <mergeCell ref="A2:K2"/>
  </mergeCells>
  <phoneticPr fontId="0" type="noConversion"/>
  <hyperlinks>
    <hyperlink ref="F6:G6" location="'Start Page'!C19" display="Return to Start Page"/>
  </hyperlinks>
  <printOptions horizontalCentered="1"/>
  <pageMargins left="0.75" right="0.75" top="1" bottom="1" header="0.5" footer="0.5"/>
  <pageSetup scale="90" orientation="landscape" horizontalDpi="300" verticalDpi="300" r:id="rId1"/>
  <headerFooter alignWithMargins="0"/>
  <picture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24"/>
  <sheetViews>
    <sheetView showGridLines="0" zoomScaleNormal="100" workbookViewId="0">
      <pane xSplit="3" ySplit="6" topLeftCell="D7" activePane="bottomRight" state="frozen"/>
      <selection pane="topRight" activeCell="D1" sqref="D1"/>
      <selection pane="bottomLeft" activeCell="A7" sqref="A7"/>
      <selection pane="bottomRight" activeCell="G5" sqref="G5:H5"/>
    </sheetView>
  </sheetViews>
  <sheetFormatPr defaultRowHeight="12.75" x14ac:dyDescent="0.2"/>
  <cols>
    <col min="1" max="2" width="7.140625" style="7" customWidth="1"/>
    <col min="3" max="3" width="13.85546875" style="7" customWidth="1"/>
    <col min="4" max="13" width="12.7109375" style="7" customWidth="1"/>
    <col min="14" max="16384" width="9.140625" style="7"/>
  </cols>
  <sheetData>
    <row r="1" spans="1:13" ht="25.5" customHeight="1" x14ac:dyDescent="0.4">
      <c r="E1" s="8">
        <f>'Start Page'!$C$63</f>
        <v>2017</v>
      </c>
      <c r="F1" s="9" t="s">
        <v>35</v>
      </c>
    </row>
    <row r="2" spans="1:13" ht="25.5" customHeight="1" x14ac:dyDescent="0.4">
      <c r="E2" s="8"/>
      <c r="G2" s="83" t="s">
        <v>69</v>
      </c>
      <c r="H2" s="10" t="str">
        <f>'Start Page'!C46</f>
        <v>Rest of the United States</v>
      </c>
    </row>
    <row r="3" spans="1:13" ht="25.5" customHeight="1" x14ac:dyDescent="0.4">
      <c r="G3" s="8">
        <f>'Start Page'!C31</f>
        <v>72</v>
      </c>
      <c r="H3" s="9" t="s">
        <v>40</v>
      </c>
    </row>
    <row r="4" spans="1:13" ht="12.75" customHeight="1" x14ac:dyDescent="0.2">
      <c r="F4" s="194" t="str">
        <f>IF(E1='GS Pay Calculator'!B2,"","Warning! These pay figures are now estimates only!")</f>
        <v/>
      </c>
      <c r="G4" s="194"/>
      <c r="H4" s="194"/>
      <c r="I4" s="194"/>
      <c r="J4" s="116"/>
    </row>
    <row r="5" spans="1:13" ht="12.75" customHeight="1" x14ac:dyDescent="0.2">
      <c r="G5" s="195" t="s">
        <v>95</v>
      </c>
      <c r="H5" s="195"/>
      <c r="I5" s="91"/>
      <c r="J5" s="91"/>
    </row>
    <row r="6" spans="1:13" x14ac:dyDescent="0.2">
      <c r="A6" s="12" t="s">
        <v>0</v>
      </c>
      <c r="B6" s="12" t="s">
        <v>43</v>
      </c>
      <c r="C6" s="12" t="s">
        <v>1</v>
      </c>
      <c r="D6" s="12" t="s">
        <v>2</v>
      </c>
      <c r="E6" s="12" t="s">
        <v>3</v>
      </c>
      <c r="F6" s="12" t="s">
        <v>4</v>
      </c>
      <c r="G6" s="12" t="s">
        <v>5</v>
      </c>
      <c r="H6" s="12" t="s">
        <v>6</v>
      </c>
      <c r="I6" s="12" t="s">
        <v>7</v>
      </c>
      <c r="J6" s="12" t="s">
        <v>8</v>
      </c>
      <c r="K6" s="12" t="s">
        <v>9</v>
      </c>
      <c r="L6" s="12" t="s">
        <v>10</v>
      </c>
      <c r="M6" s="12" t="s">
        <v>11</v>
      </c>
    </row>
    <row r="7" spans="1:13" x14ac:dyDescent="0.2">
      <c r="A7" s="13"/>
      <c r="B7" s="13"/>
      <c r="C7" s="14" t="s">
        <v>30</v>
      </c>
      <c r="D7" s="15">
        <f>'GS Pay Scale'!B9</f>
        <v>26150</v>
      </c>
      <c r="E7" s="15">
        <f>'GS Pay Scale'!C9</f>
        <v>27022</v>
      </c>
      <c r="F7" s="15">
        <f>'GS Pay Scale'!D9</f>
        <v>27894</v>
      </c>
      <c r="G7" s="15">
        <f>'GS Pay Scale'!E9</f>
        <v>28766</v>
      </c>
      <c r="H7" s="15">
        <f>'GS Pay Scale'!F9</f>
        <v>29638</v>
      </c>
      <c r="I7" s="15">
        <f>'GS Pay Scale'!G9</f>
        <v>30510</v>
      </c>
      <c r="J7" s="15">
        <f>'GS Pay Scale'!H9</f>
        <v>31383</v>
      </c>
      <c r="K7" s="15">
        <f>'GS Pay Scale'!I9</f>
        <v>32255</v>
      </c>
      <c r="L7" s="15">
        <f>'GS Pay Scale'!J9</f>
        <v>33127</v>
      </c>
      <c r="M7" s="15">
        <f>'GS Pay Scale'!K9</f>
        <v>33999</v>
      </c>
    </row>
    <row r="8" spans="1:13" x14ac:dyDescent="0.2">
      <c r="A8" s="13"/>
      <c r="B8" s="13">
        <v>106</v>
      </c>
      <c r="C8" s="16" t="s">
        <v>41</v>
      </c>
      <c r="D8" s="17">
        <f t="shared" ref="D8:M8" si="0">D9*106</f>
        <v>1005.94</v>
      </c>
      <c r="E8" s="17">
        <f t="shared" si="0"/>
        <v>1038.8000000000002</v>
      </c>
      <c r="F8" s="17">
        <f t="shared" si="0"/>
        <v>1072.72</v>
      </c>
      <c r="G8" s="17">
        <f t="shared" si="0"/>
        <v>1106.6399999999999</v>
      </c>
      <c r="H8" s="17">
        <f t="shared" si="0"/>
        <v>1139.5</v>
      </c>
      <c r="I8" s="17">
        <f t="shared" si="0"/>
        <v>1173.42</v>
      </c>
      <c r="J8" s="17">
        <f t="shared" si="0"/>
        <v>1207.3400000000001</v>
      </c>
      <c r="K8" s="17">
        <f t="shared" si="0"/>
        <v>1240.1999999999998</v>
      </c>
      <c r="L8" s="17">
        <f t="shared" si="0"/>
        <v>1274.1199999999999</v>
      </c>
      <c r="M8" s="17">
        <f t="shared" si="0"/>
        <v>1308.04</v>
      </c>
    </row>
    <row r="9" spans="1:13" x14ac:dyDescent="0.2">
      <c r="A9" s="13"/>
      <c r="B9" s="13"/>
      <c r="C9" s="16" t="s">
        <v>13</v>
      </c>
      <c r="D9" s="17">
        <f>ROUND(D7/2756,2)</f>
        <v>9.49</v>
      </c>
      <c r="E9" s="17">
        <f t="shared" ref="E9:M9" si="1">ROUND(E7/2756,2)</f>
        <v>9.8000000000000007</v>
      </c>
      <c r="F9" s="17">
        <f t="shared" si="1"/>
        <v>10.119999999999999</v>
      </c>
      <c r="G9" s="17">
        <f t="shared" si="1"/>
        <v>10.44</v>
      </c>
      <c r="H9" s="17">
        <f t="shared" si="1"/>
        <v>10.75</v>
      </c>
      <c r="I9" s="17">
        <f t="shared" si="1"/>
        <v>11.07</v>
      </c>
      <c r="J9" s="17">
        <f t="shared" si="1"/>
        <v>11.39</v>
      </c>
      <c r="K9" s="17">
        <f t="shared" si="1"/>
        <v>11.7</v>
      </c>
      <c r="L9" s="17">
        <f t="shared" si="1"/>
        <v>12.02</v>
      </c>
      <c r="M9" s="17">
        <f t="shared" si="1"/>
        <v>12.34</v>
      </c>
    </row>
    <row r="10" spans="1:13" x14ac:dyDescent="0.2">
      <c r="A10" s="18"/>
      <c r="B10" s="19">
        <f>($G$3-53)*2</f>
        <v>38</v>
      </c>
      <c r="C10" s="16" t="s">
        <v>42</v>
      </c>
      <c r="D10" s="17">
        <f>D11*$B$10</f>
        <v>541.12</v>
      </c>
      <c r="E10" s="17">
        <f t="shared" ref="E10:M10" si="2">E11*$B$10</f>
        <v>558.6</v>
      </c>
      <c r="F10" s="17">
        <f t="shared" si="2"/>
        <v>576.84</v>
      </c>
      <c r="G10" s="17">
        <f t="shared" si="2"/>
        <v>595.08000000000004</v>
      </c>
      <c r="H10" s="17">
        <f t="shared" si="2"/>
        <v>612.93999999999994</v>
      </c>
      <c r="I10" s="17">
        <f t="shared" si="2"/>
        <v>631.17999999999995</v>
      </c>
      <c r="J10" s="17">
        <f t="shared" si="2"/>
        <v>649.41999999999996</v>
      </c>
      <c r="K10" s="17">
        <f t="shared" si="2"/>
        <v>666.9</v>
      </c>
      <c r="L10" s="17">
        <f t="shared" si="2"/>
        <v>685.1400000000001</v>
      </c>
      <c r="M10" s="17">
        <f t="shared" si="2"/>
        <v>703.38000000000011</v>
      </c>
    </row>
    <row r="11" spans="1:13" x14ac:dyDescent="0.2">
      <c r="A11" s="13" t="s">
        <v>22</v>
      </c>
      <c r="B11" s="13"/>
      <c r="C11" s="16" t="s">
        <v>14</v>
      </c>
      <c r="D11" s="17">
        <f>IF(ROUND(D9*1.5,2)&lt;$G$122,ROUND(D9*1.5,2),IF($G$122&lt;D9,D9,$G$122))</f>
        <v>14.24</v>
      </c>
      <c r="E11" s="17">
        <f t="shared" ref="E11:M11" si="3">IF(ROUND(E9*1.5,2)&lt;$G$122,ROUND(E9*1.5,2),IF($G$122&lt;E9,E9,$G$122))</f>
        <v>14.7</v>
      </c>
      <c r="F11" s="17">
        <f t="shared" si="3"/>
        <v>15.18</v>
      </c>
      <c r="G11" s="17">
        <f t="shared" si="3"/>
        <v>15.66</v>
      </c>
      <c r="H11" s="17">
        <f t="shared" si="3"/>
        <v>16.13</v>
      </c>
      <c r="I11" s="17">
        <f t="shared" si="3"/>
        <v>16.61</v>
      </c>
      <c r="J11" s="17">
        <f t="shared" si="3"/>
        <v>17.09</v>
      </c>
      <c r="K11" s="17">
        <f t="shared" si="3"/>
        <v>17.55</v>
      </c>
      <c r="L11" s="17">
        <f t="shared" si="3"/>
        <v>18.03</v>
      </c>
      <c r="M11" s="17">
        <f t="shared" si="3"/>
        <v>18.510000000000002</v>
      </c>
    </row>
    <row r="12" spans="1:13" s="62" customFormat="1" x14ac:dyDescent="0.2">
      <c r="A12" s="61"/>
      <c r="B12" s="61"/>
      <c r="C12" s="32" t="s">
        <v>46</v>
      </c>
      <c r="D12" s="17">
        <f>ROUND(D9*'Start Page'!$F$48,2)*$B$13</f>
        <v>0</v>
      </c>
      <c r="E12" s="17">
        <f>ROUND(E9*'Start Page'!$F$48,2)*$B$13</f>
        <v>0</v>
      </c>
      <c r="F12" s="17">
        <f>ROUND(F9*'Start Page'!$F$48,2)*$B$13</f>
        <v>0</v>
      </c>
      <c r="G12" s="17">
        <f>ROUND(G9*'Start Page'!$F$48,2)*$B$13</f>
        <v>0</v>
      </c>
      <c r="H12" s="17">
        <f>ROUND(H9*'Start Page'!$F$48,2)*$B$13</f>
        <v>0</v>
      </c>
      <c r="I12" s="17">
        <f>ROUND(I9*'Start Page'!$F$48,2)*$B$13</f>
        <v>0</v>
      </c>
      <c r="J12" s="17">
        <f>ROUND(J9*'Start Page'!$F$48,2)*$B$13</f>
        <v>0</v>
      </c>
      <c r="K12" s="17">
        <f>ROUND(K9*'Start Page'!$F$48,2)*$B$13</f>
        <v>0</v>
      </c>
      <c r="L12" s="17">
        <f>ROUND(L9*'Start Page'!$F$48,2)*$B$13</f>
        <v>0</v>
      </c>
      <c r="M12" s="17">
        <f>ROUND(M9*'Start Page'!$F$48,2)*$B$13</f>
        <v>0</v>
      </c>
    </row>
    <row r="13" spans="1:13" x14ac:dyDescent="0.2">
      <c r="A13" s="13"/>
      <c r="B13" s="13">
        <f>B8+B10</f>
        <v>144</v>
      </c>
      <c r="C13" s="20" t="s">
        <v>17</v>
      </c>
      <c r="D13" s="21">
        <f>D8+D10+D12</f>
        <v>1547.06</v>
      </c>
      <c r="E13" s="21">
        <f t="shared" ref="E13:M13" si="4">E8+E10+E12</f>
        <v>1597.4</v>
      </c>
      <c r="F13" s="21">
        <f t="shared" si="4"/>
        <v>1649.56</v>
      </c>
      <c r="G13" s="21">
        <f t="shared" si="4"/>
        <v>1701.7199999999998</v>
      </c>
      <c r="H13" s="21">
        <f t="shared" si="4"/>
        <v>1752.44</v>
      </c>
      <c r="I13" s="21">
        <f t="shared" si="4"/>
        <v>1804.6</v>
      </c>
      <c r="J13" s="21">
        <f t="shared" si="4"/>
        <v>1856.7600000000002</v>
      </c>
      <c r="K13" s="21">
        <f t="shared" si="4"/>
        <v>1907.1</v>
      </c>
      <c r="L13" s="21">
        <f t="shared" si="4"/>
        <v>1959.26</v>
      </c>
      <c r="M13" s="21">
        <f t="shared" si="4"/>
        <v>2011.42</v>
      </c>
    </row>
    <row r="14" spans="1:13" x14ac:dyDescent="0.2">
      <c r="A14" s="13"/>
      <c r="B14" s="13"/>
      <c r="C14" s="20" t="s">
        <v>33</v>
      </c>
      <c r="D14" s="21">
        <f>D13*'Start Page'!$C$65</f>
        <v>40223.56</v>
      </c>
      <c r="E14" s="21">
        <f>E13*'Start Page'!$C$65</f>
        <v>41532.400000000001</v>
      </c>
      <c r="F14" s="21">
        <f>F13*'Start Page'!$C$65</f>
        <v>42888.56</v>
      </c>
      <c r="G14" s="21">
        <f>G13*'Start Page'!$C$65</f>
        <v>44244.719999999994</v>
      </c>
      <c r="H14" s="21">
        <f>H13*'Start Page'!$C$65</f>
        <v>45563.44</v>
      </c>
      <c r="I14" s="21">
        <f>I13*'Start Page'!$C$65</f>
        <v>46919.6</v>
      </c>
      <c r="J14" s="21">
        <f>J13*'Start Page'!$C$65</f>
        <v>48275.760000000009</v>
      </c>
      <c r="K14" s="21">
        <f>K13*'Start Page'!$C$65</f>
        <v>49584.6</v>
      </c>
      <c r="L14" s="21">
        <f>L13*'Start Page'!$C$65</f>
        <v>50940.76</v>
      </c>
      <c r="M14" s="21">
        <f>M13*'Start Page'!$C$65</f>
        <v>52296.92</v>
      </c>
    </row>
    <row r="15" spans="1:13" s="25" customFormat="1" x14ac:dyDescent="0.2">
      <c r="A15" s="22"/>
      <c r="B15" s="22"/>
      <c r="C15" s="23" t="s">
        <v>71</v>
      </c>
      <c r="D15" s="24">
        <f>D9*$B$13*'Start Page'!$C$65</f>
        <v>35530.559999999998</v>
      </c>
      <c r="E15" s="24">
        <f>E9*$B$13*'Start Page'!$C$65</f>
        <v>36691.200000000004</v>
      </c>
      <c r="F15" s="24">
        <f>F9*$B$13*'Start Page'!$C$65</f>
        <v>37889.279999999999</v>
      </c>
      <c r="G15" s="24">
        <f>G9*$B$13*'Start Page'!$C$65</f>
        <v>39087.360000000001</v>
      </c>
      <c r="H15" s="24">
        <f>H9*$B$13*'Start Page'!$C$65</f>
        <v>40248</v>
      </c>
      <c r="I15" s="24">
        <f>I9*$B$13*'Start Page'!$C$65</f>
        <v>41446.080000000002</v>
      </c>
      <c r="J15" s="24">
        <f>J9*$B$13*'Start Page'!$C$65</f>
        <v>42644.160000000003</v>
      </c>
      <c r="K15" s="24">
        <f>K9*$B$13*'Start Page'!$C$65</f>
        <v>43804.799999999996</v>
      </c>
      <c r="L15" s="24">
        <f>L9*$B$13*'Start Page'!$C$65</f>
        <v>45002.879999999997</v>
      </c>
      <c r="M15" s="120">
        <f>M9*$B$13*'Start Page'!$C$65</f>
        <v>46200.959999999999</v>
      </c>
    </row>
    <row r="16" spans="1:13" x14ac:dyDescent="0.2">
      <c r="A16" s="26"/>
      <c r="B16" s="13"/>
      <c r="C16" s="14" t="s">
        <v>30</v>
      </c>
      <c r="D16" s="15">
        <f>'GS Pay Scale'!B10</f>
        <v>29356</v>
      </c>
      <c r="E16" s="15">
        <f>'GS Pay Scale'!C10</f>
        <v>30334</v>
      </c>
      <c r="F16" s="15">
        <f>'GS Pay Scale'!D10</f>
        <v>31312</v>
      </c>
      <c r="G16" s="15">
        <f>'GS Pay Scale'!E10</f>
        <v>32290</v>
      </c>
      <c r="H16" s="15">
        <f>'GS Pay Scale'!F10</f>
        <v>33268</v>
      </c>
      <c r="I16" s="15">
        <f>'GS Pay Scale'!G10</f>
        <v>34246</v>
      </c>
      <c r="J16" s="15">
        <f>'GS Pay Scale'!H10</f>
        <v>35224</v>
      </c>
      <c r="K16" s="15">
        <f>'GS Pay Scale'!I10</f>
        <v>36202</v>
      </c>
      <c r="L16" s="15">
        <f>'GS Pay Scale'!J10</f>
        <v>37180</v>
      </c>
      <c r="M16" s="15">
        <f>'GS Pay Scale'!K10</f>
        <v>38158</v>
      </c>
    </row>
    <row r="17" spans="1:13" x14ac:dyDescent="0.2">
      <c r="A17" s="13"/>
      <c r="B17" s="13">
        <v>106</v>
      </c>
      <c r="C17" s="16" t="s">
        <v>41</v>
      </c>
      <c r="D17" s="17">
        <f t="shared" ref="D17:M17" si="5">D18*106</f>
        <v>1128.9000000000001</v>
      </c>
      <c r="E17" s="17">
        <f t="shared" si="5"/>
        <v>1167.06</v>
      </c>
      <c r="F17" s="17">
        <f t="shared" si="5"/>
        <v>1204.1599999999999</v>
      </c>
      <c r="G17" s="17">
        <f t="shared" si="5"/>
        <v>1242.3200000000002</v>
      </c>
      <c r="H17" s="17">
        <f t="shared" si="5"/>
        <v>1279.42</v>
      </c>
      <c r="I17" s="17">
        <f t="shared" si="5"/>
        <v>1317.58</v>
      </c>
      <c r="J17" s="17">
        <f t="shared" si="5"/>
        <v>1354.6799999999998</v>
      </c>
      <c r="K17" s="17">
        <f t="shared" si="5"/>
        <v>1392.8400000000001</v>
      </c>
      <c r="L17" s="17">
        <f t="shared" si="5"/>
        <v>1429.94</v>
      </c>
      <c r="M17" s="17">
        <f t="shared" si="5"/>
        <v>1468.1</v>
      </c>
    </row>
    <row r="18" spans="1:13" x14ac:dyDescent="0.2">
      <c r="A18" s="13"/>
      <c r="B18" s="13"/>
      <c r="C18" s="16" t="s">
        <v>13</v>
      </c>
      <c r="D18" s="17">
        <f>ROUND(D16/2756,2)</f>
        <v>10.65</v>
      </c>
      <c r="E18" s="17">
        <f t="shared" ref="E18:M18" si="6">ROUND(E16/2756,2)</f>
        <v>11.01</v>
      </c>
      <c r="F18" s="17">
        <f t="shared" si="6"/>
        <v>11.36</v>
      </c>
      <c r="G18" s="17">
        <f t="shared" si="6"/>
        <v>11.72</v>
      </c>
      <c r="H18" s="17">
        <f t="shared" si="6"/>
        <v>12.07</v>
      </c>
      <c r="I18" s="17">
        <f t="shared" si="6"/>
        <v>12.43</v>
      </c>
      <c r="J18" s="17">
        <f t="shared" si="6"/>
        <v>12.78</v>
      </c>
      <c r="K18" s="17">
        <f t="shared" si="6"/>
        <v>13.14</v>
      </c>
      <c r="L18" s="17">
        <f t="shared" si="6"/>
        <v>13.49</v>
      </c>
      <c r="M18" s="17">
        <f t="shared" si="6"/>
        <v>13.85</v>
      </c>
    </row>
    <row r="19" spans="1:13" x14ac:dyDescent="0.2">
      <c r="A19" s="18"/>
      <c r="B19" s="19">
        <f>($G$3-53)*2</f>
        <v>38</v>
      </c>
      <c r="C19" s="16" t="s">
        <v>42</v>
      </c>
      <c r="D19" s="17">
        <f t="shared" ref="D19:M19" si="7">D20*$B$10</f>
        <v>607.24</v>
      </c>
      <c r="E19" s="17">
        <f t="shared" si="7"/>
        <v>627.76</v>
      </c>
      <c r="F19" s="17">
        <f t="shared" si="7"/>
        <v>647.52</v>
      </c>
      <c r="G19" s="17">
        <f t="shared" si="7"/>
        <v>668.04</v>
      </c>
      <c r="H19" s="17">
        <f t="shared" si="7"/>
        <v>688.18</v>
      </c>
      <c r="I19" s="17">
        <f t="shared" si="7"/>
        <v>708.69999999999993</v>
      </c>
      <c r="J19" s="17">
        <f t="shared" si="7"/>
        <v>728.46</v>
      </c>
      <c r="K19" s="17">
        <f t="shared" si="7"/>
        <v>748.98</v>
      </c>
      <c r="L19" s="17">
        <f t="shared" si="7"/>
        <v>769.11999999999989</v>
      </c>
      <c r="M19" s="17">
        <f t="shared" si="7"/>
        <v>789.6400000000001</v>
      </c>
    </row>
    <row r="20" spans="1:13" x14ac:dyDescent="0.2">
      <c r="A20" s="13" t="s">
        <v>23</v>
      </c>
      <c r="B20" s="13"/>
      <c r="C20" s="16" t="s">
        <v>14</v>
      </c>
      <c r="D20" s="17">
        <f>IF(ROUND(D18*1.5,2)&lt;$G$122,ROUND(D18*1.5,2),IF($G$122&lt;D18,D18,$G$122))</f>
        <v>15.98</v>
      </c>
      <c r="E20" s="17">
        <f t="shared" ref="E20:M20" si="8">IF(ROUND(E18*1.5,2)&lt;$G$122,ROUND(E18*1.5,2),IF($G$122&lt;E18,E18,$G$122))</f>
        <v>16.52</v>
      </c>
      <c r="F20" s="17">
        <f t="shared" si="8"/>
        <v>17.04</v>
      </c>
      <c r="G20" s="17">
        <f t="shared" si="8"/>
        <v>17.579999999999998</v>
      </c>
      <c r="H20" s="17">
        <f t="shared" si="8"/>
        <v>18.11</v>
      </c>
      <c r="I20" s="17">
        <f t="shared" si="8"/>
        <v>18.649999999999999</v>
      </c>
      <c r="J20" s="17">
        <f t="shared" si="8"/>
        <v>19.170000000000002</v>
      </c>
      <c r="K20" s="17">
        <f t="shared" si="8"/>
        <v>19.71</v>
      </c>
      <c r="L20" s="17">
        <f t="shared" si="8"/>
        <v>20.239999999999998</v>
      </c>
      <c r="M20" s="17">
        <f t="shared" si="8"/>
        <v>20.78</v>
      </c>
    </row>
    <row r="21" spans="1:13" s="62" customFormat="1" x14ac:dyDescent="0.2">
      <c r="A21" s="61"/>
      <c r="B21" s="61"/>
      <c r="C21" s="32" t="s">
        <v>46</v>
      </c>
      <c r="D21" s="17">
        <f>ROUND(D18*'Start Page'!$F$48,2)*$B$13</f>
        <v>0</v>
      </c>
      <c r="E21" s="17">
        <f>ROUND(E18*'Start Page'!$F$48,2)*$B$13</f>
        <v>0</v>
      </c>
      <c r="F21" s="17">
        <f>ROUND(F18*'Start Page'!$F$48,2)*$B$13</f>
        <v>0</v>
      </c>
      <c r="G21" s="17">
        <f>ROUND(G18*'Start Page'!$F$48,2)*$B$13</f>
        <v>0</v>
      </c>
      <c r="H21" s="17">
        <f>ROUND(H18*'Start Page'!$F$48,2)*$B$13</f>
        <v>0</v>
      </c>
      <c r="I21" s="17">
        <f>ROUND(I18*'Start Page'!$F$48,2)*$B$13</f>
        <v>0</v>
      </c>
      <c r="J21" s="17">
        <f>ROUND(J18*'Start Page'!$F$48,2)*$B$13</f>
        <v>0</v>
      </c>
      <c r="K21" s="17">
        <f>ROUND(K18*'Start Page'!$F$48,2)*$B$13</f>
        <v>0</v>
      </c>
      <c r="L21" s="17">
        <f>ROUND(L18*'Start Page'!$F$48,2)*$B$13</f>
        <v>0</v>
      </c>
      <c r="M21" s="17">
        <f>ROUND(M18*'Start Page'!$F$48,2)*$B$13</f>
        <v>0</v>
      </c>
    </row>
    <row r="22" spans="1:13" x14ac:dyDescent="0.2">
      <c r="A22" s="13"/>
      <c r="B22" s="13">
        <f>B17+B19</f>
        <v>144</v>
      </c>
      <c r="C22" s="20" t="s">
        <v>17</v>
      </c>
      <c r="D22" s="21">
        <f t="shared" ref="D22:M22" si="9">D17+D19+D21</f>
        <v>1736.14</v>
      </c>
      <c r="E22" s="21">
        <f t="shared" si="9"/>
        <v>1794.82</v>
      </c>
      <c r="F22" s="21">
        <f t="shared" si="9"/>
        <v>1851.6799999999998</v>
      </c>
      <c r="G22" s="21">
        <f t="shared" si="9"/>
        <v>1910.3600000000001</v>
      </c>
      <c r="H22" s="21">
        <f t="shared" si="9"/>
        <v>1967.6</v>
      </c>
      <c r="I22" s="21">
        <f t="shared" si="9"/>
        <v>2026.2799999999997</v>
      </c>
      <c r="J22" s="21">
        <f t="shared" si="9"/>
        <v>2083.14</v>
      </c>
      <c r="K22" s="21">
        <f t="shared" si="9"/>
        <v>2141.8200000000002</v>
      </c>
      <c r="L22" s="21">
        <f t="shared" si="9"/>
        <v>2199.06</v>
      </c>
      <c r="M22" s="21">
        <f t="shared" si="9"/>
        <v>2257.7399999999998</v>
      </c>
    </row>
    <row r="23" spans="1:13" x14ac:dyDescent="0.2">
      <c r="A23" s="13"/>
      <c r="B23" s="13"/>
      <c r="C23" s="20" t="s">
        <v>33</v>
      </c>
      <c r="D23" s="21">
        <f>D22*'Start Page'!$C$65</f>
        <v>45139.64</v>
      </c>
      <c r="E23" s="21">
        <f>E22*'Start Page'!$C$65</f>
        <v>46665.32</v>
      </c>
      <c r="F23" s="21">
        <f>F22*'Start Page'!$C$65</f>
        <v>48143.679999999993</v>
      </c>
      <c r="G23" s="21">
        <f>G22*'Start Page'!$C$65</f>
        <v>49669.36</v>
      </c>
      <c r="H23" s="21">
        <f>H22*'Start Page'!$C$65</f>
        <v>51157.599999999999</v>
      </c>
      <c r="I23" s="21">
        <f>I22*'Start Page'!$C$65</f>
        <v>52683.279999999992</v>
      </c>
      <c r="J23" s="21">
        <f>J22*'Start Page'!$C$65</f>
        <v>54161.64</v>
      </c>
      <c r="K23" s="21">
        <f>K22*'Start Page'!$C$65</f>
        <v>55687.320000000007</v>
      </c>
      <c r="L23" s="21">
        <f>L22*'Start Page'!$C$65</f>
        <v>57175.56</v>
      </c>
      <c r="M23" s="21">
        <f>M22*'Start Page'!$C$65</f>
        <v>58701.239999999991</v>
      </c>
    </row>
    <row r="24" spans="1:13" s="25" customFormat="1" x14ac:dyDescent="0.2">
      <c r="A24" s="22"/>
      <c r="B24" s="22"/>
      <c r="C24" s="23" t="s">
        <v>71</v>
      </c>
      <c r="D24" s="24">
        <f>D18*$B$13*'Start Page'!$C$65</f>
        <v>39873.600000000006</v>
      </c>
      <c r="E24" s="24">
        <f>E18*$B$13*'Start Page'!$C$65</f>
        <v>41221.440000000002</v>
      </c>
      <c r="F24" s="24">
        <f>F18*$B$13*'Start Page'!$C$65</f>
        <v>42531.839999999997</v>
      </c>
      <c r="G24" s="24">
        <f>G18*$B$13*'Start Page'!$C$65</f>
        <v>43879.68</v>
      </c>
      <c r="H24" s="24">
        <f>H18*$B$13*'Start Page'!$C$65</f>
        <v>45190.080000000002</v>
      </c>
      <c r="I24" s="24">
        <f>I18*$B$13*'Start Page'!$C$65</f>
        <v>46537.919999999998</v>
      </c>
      <c r="J24" s="24">
        <f>J18*$B$13*'Start Page'!$C$65</f>
        <v>47848.32</v>
      </c>
      <c r="K24" s="24">
        <f>K18*$B$13*'Start Page'!$C$65</f>
        <v>49196.160000000003</v>
      </c>
      <c r="L24" s="24">
        <f>L18*$B$13*'Start Page'!$C$65</f>
        <v>50506.559999999998</v>
      </c>
      <c r="M24" s="120">
        <f>M18*$B$13*'Start Page'!$C$65</f>
        <v>51854.399999999994</v>
      </c>
    </row>
    <row r="25" spans="1:13" x14ac:dyDescent="0.2">
      <c r="A25" s="26"/>
      <c r="B25" s="13"/>
      <c r="C25" s="14" t="s">
        <v>30</v>
      </c>
      <c r="D25" s="15">
        <f>'GS Pay Scale'!B11</f>
        <v>32844</v>
      </c>
      <c r="E25" s="15">
        <f>'GS Pay Scale'!C11</f>
        <v>33939</v>
      </c>
      <c r="F25" s="15">
        <f>'GS Pay Scale'!D11</f>
        <v>35035</v>
      </c>
      <c r="G25" s="15">
        <f>'GS Pay Scale'!E11</f>
        <v>36130</v>
      </c>
      <c r="H25" s="15">
        <f>'GS Pay Scale'!F11</f>
        <v>37225</v>
      </c>
      <c r="I25" s="15">
        <f>'GS Pay Scale'!G11</f>
        <v>38321</v>
      </c>
      <c r="J25" s="15">
        <f>'GS Pay Scale'!H11</f>
        <v>39416</v>
      </c>
      <c r="K25" s="15">
        <f>'GS Pay Scale'!I11</f>
        <v>40511</v>
      </c>
      <c r="L25" s="15">
        <f>'GS Pay Scale'!J11</f>
        <v>41607</v>
      </c>
      <c r="M25" s="15">
        <f>'GS Pay Scale'!K11</f>
        <v>42702</v>
      </c>
    </row>
    <row r="26" spans="1:13" x14ac:dyDescent="0.2">
      <c r="A26" s="13"/>
      <c r="B26" s="13">
        <v>106</v>
      </c>
      <c r="C26" s="16" t="s">
        <v>41</v>
      </c>
      <c r="D26" s="17">
        <f t="shared" ref="D26:M26" si="10">D27*106</f>
        <v>1263.52</v>
      </c>
      <c r="E26" s="17">
        <f t="shared" si="10"/>
        <v>1304.8600000000001</v>
      </c>
      <c r="F26" s="17">
        <f t="shared" si="10"/>
        <v>1347.26</v>
      </c>
      <c r="G26" s="17">
        <f t="shared" si="10"/>
        <v>1389.6599999999999</v>
      </c>
      <c r="H26" s="17">
        <f t="shared" si="10"/>
        <v>1432.06</v>
      </c>
      <c r="I26" s="17">
        <f t="shared" si="10"/>
        <v>1473.4</v>
      </c>
      <c r="J26" s="17">
        <f t="shared" si="10"/>
        <v>1515.8000000000002</v>
      </c>
      <c r="K26" s="17">
        <f t="shared" si="10"/>
        <v>1558.1999999999998</v>
      </c>
      <c r="L26" s="17">
        <f t="shared" si="10"/>
        <v>1600.6</v>
      </c>
      <c r="M26" s="17">
        <f t="shared" si="10"/>
        <v>1641.94</v>
      </c>
    </row>
    <row r="27" spans="1:13" x14ac:dyDescent="0.2">
      <c r="A27" s="13"/>
      <c r="B27" s="13"/>
      <c r="C27" s="16" t="s">
        <v>13</v>
      </c>
      <c r="D27" s="17">
        <f>ROUND(D25/2756,2)</f>
        <v>11.92</v>
      </c>
      <c r="E27" s="17">
        <f t="shared" ref="E27:M27" si="11">ROUND(E25/2756,2)</f>
        <v>12.31</v>
      </c>
      <c r="F27" s="17">
        <f t="shared" si="11"/>
        <v>12.71</v>
      </c>
      <c r="G27" s="17">
        <f t="shared" si="11"/>
        <v>13.11</v>
      </c>
      <c r="H27" s="17">
        <f t="shared" si="11"/>
        <v>13.51</v>
      </c>
      <c r="I27" s="17">
        <f t="shared" si="11"/>
        <v>13.9</v>
      </c>
      <c r="J27" s="17">
        <f t="shared" si="11"/>
        <v>14.3</v>
      </c>
      <c r="K27" s="17">
        <f t="shared" si="11"/>
        <v>14.7</v>
      </c>
      <c r="L27" s="17">
        <f t="shared" si="11"/>
        <v>15.1</v>
      </c>
      <c r="M27" s="17">
        <f t="shared" si="11"/>
        <v>15.49</v>
      </c>
    </row>
    <row r="28" spans="1:13" x14ac:dyDescent="0.2">
      <c r="A28" s="18"/>
      <c r="B28" s="19">
        <f>($G$3-53)*2</f>
        <v>38</v>
      </c>
      <c r="C28" s="16" t="s">
        <v>42</v>
      </c>
      <c r="D28" s="17">
        <f t="shared" ref="D28:M28" si="12">D29*$B$10</f>
        <v>679.43999999999994</v>
      </c>
      <c r="E28" s="17">
        <f t="shared" si="12"/>
        <v>701.8599999999999</v>
      </c>
      <c r="F28" s="17">
        <f t="shared" si="12"/>
        <v>724.66</v>
      </c>
      <c r="G28" s="17">
        <f t="shared" si="12"/>
        <v>747.46</v>
      </c>
      <c r="H28" s="17">
        <f t="shared" si="12"/>
        <v>770.26</v>
      </c>
      <c r="I28" s="17">
        <f t="shared" si="12"/>
        <v>792.30000000000007</v>
      </c>
      <c r="J28" s="17">
        <f t="shared" si="12"/>
        <v>815.1</v>
      </c>
      <c r="K28" s="17">
        <f t="shared" si="12"/>
        <v>837.9</v>
      </c>
      <c r="L28" s="17">
        <f t="shared" si="12"/>
        <v>860.69999999999993</v>
      </c>
      <c r="M28" s="17">
        <f t="shared" si="12"/>
        <v>883.11999999999989</v>
      </c>
    </row>
    <row r="29" spans="1:13" x14ac:dyDescent="0.2">
      <c r="A29" s="13" t="s">
        <v>24</v>
      </c>
      <c r="B29" s="13"/>
      <c r="C29" s="16" t="s">
        <v>14</v>
      </c>
      <c r="D29" s="17">
        <f>IF(ROUND(D27*1.5,2)&lt;$G$122,ROUND(D27*1.5,2),IF($G$122&lt;D27,D27,$G$122))</f>
        <v>17.88</v>
      </c>
      <c r="E29" s="17">
        <f t="shared" ref="E29:M29" si="13">IF(ROUND(E27*1.5,2)&lt;$G$122,ROUND(E27*1.5,2),IF($G$122&lt;E27,E27,$G$122))</f>
        <v>18.47</v>
      </c>
      <c r="F29" s="17">
        <f t="shared" si="13"/>
        <v>19.07</v>
      </c>
      <c r="G29" s="17">
        <f t="shared" si="13"/>
        <v>19.670000000000002</v>
      </c>
      <c r="H29" s="17">
        <f t="shared" si="13"/>
        <v>20.27</v>
      </c>
      <c r="I29" s="17">
        <f t="shared" si="13"/>
        <v>20.85</v>
      </c>
      <c r="J29" s="17">
        <f t="shared" si="13"/>
        <v>21.45</v>
      </c>
      <c r="K29" s="17">
        <f t="shared" si="13"/>
        <v>22.05</v>
      </c>
      <c r="L29" s="17">
        <f t="shared" si="13"/>
        <v>22.65</v>
      </c>
      <c r="M29" s="17">
        <f t="shared" si="13"/>
        <v>23.24</v>
      </c>
    </row>
    <row r="30" spans="1:13" s="62" customFormat="1" x14ac:dyDescent="0.2">
      <c r="A30" s="61"/>
      <c r="B30" s="61"/>
      <c r="C30" s="32" t="s">
        <v>46</v>
      </c>
      <c r="D30" s="17">
        <f>ROUND(D27*'Start Page'!$F$48,2)*$B$13</f>
        <v>0</v>
      </c>
      <c r="E30" s="17">
        <f>ROUND(E27*'Start Page'!$F$48,2)*$B$13</f>
        <v>0</v>
      </c>
      <c r="F30" s="17">
        <f>ROUND(F27*'Start Page'!$F$48,2)*$B$13</f>
        <v>0</v>
      </c>
      <c r="G30" s="17">
        <f>ROUND(G27*'Start Page'!$F$48,2)*$B$13</f>
        <v>0</v>
      </c>
      <c r="H30" s="17">
        <f>ROUND(H27*'Start Page'!$F$48,2)*$B$13</f>
        <v>0</v>
      </c>
      <c r="I30" s="17">
        <f>ROUND(I27*'Start Page'!$F$48,2)*$B$13</f>
        <v>0</v>
      </c>
      <c r="J30" s="17">
        <f>ROUND(J27*'Start Page'!$F$48,2)*$B$13</f>
        <v>0</v>
      </c>
      <c r="K30" s="17">
        <f>ROUND(K27*'Start Page'!$F$48,2)*$B$13</f>
        <v>0</v>
      </c>
      <c r="L30" s="17">
        <f>ROUND(L27*'Start Page'!$F$48,2)*$B$13</f>
        <v>0</v>
      </c>
      <c r="M30" s="17">
        <f>ROUND(M27*'Start Page'!$F$48,2)*$B$13</f>
        <v>0</v>
      </c>
    </row>
    <row r="31" spans="1:13" x14ac:dyDescent="0.2">
      <c r="A31" s="13"/>
      <c r="B31" s="13">
        <f>B26+B28</f>
        <v>144</v>
      </c>
      <c r="C31" s="20" t="s">
        <v>17</v>
      </c>
      <c r="D31" s="21">
        <f t="shared" ref="D31:M31" si="14">D26+D28+D30</f>
        <v>1942.96</v>
      </c>
      <c r="E31" s="21">
        <f t="shared" si="14"/>
        <v>2006.72</v>
      </c>
      <c r="F31" s="21">
        <f t="shared" si="14"/>
        <v>2071.92</v>
      </c>
      <c r="G31" s="21">
        <f t="shared" si="14"/>
        <v>2137.12</v>
      </c>
      <c r="H31" s="21">
        <f t="shared" si="14"/>
        <v>2202.3199999999997</v>
      </c>
      <c r="I31" s="21">
        <f t="shared" si="14"/>
        <v>2265.7000000000003</v>
      </c>
      <c r="J31" s="21">
        <f t="shared" si="14"/>
        <v>2330.9</v>
      </c>
      <c r="K31" s="21">
        <f t="shared" si="14"/>
        <v>2396.1</v>
      </c>
      <c r="L31" s="21">
        <f t="shared" si="14"/>
        <v>2461.2999999999997</v>
      </c>
      <c r="M31" s="21">
        <f t="shared" si="14"/>
        <v>2525.06</v>
      </c>
    </row>
    <row r="32" spans="1:13" x14ac:dyDescent="0.2">
      <c r="A32" s="13"/>
      <c r="B32" s="13"/>
      <c r="C32" s="20" t="s">
        <v>33</v>
      </c>
      <c r="D32" s="21">
        <f>D31*'Start Page'!$C$65</f>
        <v>50516.959999999999</v>
      </c>
      <c r="E32" s="21">
        <f>E31*'Start Page'!$C$65</f>
        <v>52174.720000000001</v>
      </c>
      <c r="F32" s="21">
        <f>F31*'Start Page'!$C$65</f>
        <v>53869.919999999998</v>
      </c>
      <c r="G32" s="21">
        <f>G31*'Start Page'!$C$65</f>
        <v>55565.119999999995</v>
      </c>
      <c r="H32" s="21">
        <f>H31*'Start Page'!$C$65</f>
        <v>57260.319999999992</v>
      </c>
      <c r="I32" s="21">
        <f>I31*'Start Page'!$C$65</f>
        <v>58908.200000000004</v>
      </c>
      <c r="J32" s="21">
        <f>J31*'Start Page'!$C$65</f>
        <v>60603.4</v>
      </c>
      <c r="K32" s="21">
        <f>K31*'Start Page'!$C$65</f>
        <v>62298.6</v>
      </c>
      <c r="L32" s="21">
        <f>L31*'Start Page'!$C$65</f>
        <v>63993.799999999996</v>
      </c>
      <c r="M32" s="21">
        <f>M31*'Start Page'!$C$65</f>
        <v>65651.56</v>
      </c>
    </row>
    <row r="33" spans="1:13" s="25" customFormat="1" x14ac:dyDescent="0.2">
      <c r="A33" s="22"/>
      <c r="B33" s="22"/>
      <c r="C33" s="23" t="s">
        <v>71</v>
      </c>
      <c r="D33" s="24">
        <f>D27*$B$13*'Start Page'!$C$65</f>
        <v>44628.480000000003</v>
      </c>
      <c r="E33" s="24">
        <f>E27*$B$13*'Start Page'!$C$65</f>
        <v>46088.639999999999</v>
      </c>
      <c r="F33" s="24">
        <f>F27*$B$13*'Start Page'!$C$65</f>
        <v>47586.240000000005</v>
      </c>
      <c r="G33" s="24">
        <f>G27*$B$13*'Start Page'!$C$65</f>
        <v>49083.839999999997</v>
      </c>
      <c r="H33" s="24">
        <f>H27*$B$13*'Start Page'!$C$65</f>
        <v>50581.440000000002</v>
      </c>
      <c r="I33" s="24">
        <f>I27*$B$13*'Start Page'!$C$65</f>
        <v>52041.600000000006</v>
      </c>
      <c r="J33" s="24">
        <f>J27*$B$13*'Start Page'!$C$65</f>
        <v>53539.200000000004</v>
      </c>
      <c r="K33" s="24">
        <f>K27*$B$13*'Start Page'!$C$65</f>
        <v>55036.799999999996</v>
      </c>
      <c r="L33" s="24">
        <f>L27*$B$13*'Start Page'!$C$65</f>
        <v>56534.400000000001</v>
      </c>
      <c r="M33" s="120">
        <f>M27*$B$13*'Start Page'!$C$65</f>
        <v>57994.559999999998</v>
      </c>
    </row>
    <row r="34" spans="1:13" x14ac:dyDescent="0.2">
      <c r="A34" s="26"/>
      <c r="B34" s="13"/>
      <c r="C34" s="14" t="s">
        <v>30</v>
      </c>
      <c r="D34" s="15">
        <f>'GS Pay Scale'!B12</f>
        <v>36611</v>
      </c>
      <c r="E34" s="15">
        <f>'GS Pay Scale'!C12</f>
        <v>37832</v>
      </c>
      <c r="F34" s="15">
        <f>'GS Pay Scale'!D12</f>
        <v>39053</v>
      </c>
      <c r="G34" s="15">
        <f>'GS Pay Scale'!E12</f>
        <v>40273</v>
      </c>
      <c r="H34" s="15">
        <f>'GS Pay Scale'!F12</f>
        <v>41494</v>
      </c>
      <c r="I34" s="15">
        <f>'GS Pay Scale'!G12</f>
        <v>42715</v>
      </c>
      <c r="J34" s="15">
        <f>'GS Pay Scale'!H12</f>
        <v>43936</v>
      </c>
      <c r="K34" s="15">
        <f>'GS Pay Scale'!I12</f>
        <v>45156</v>
      </c>
      <c r="L34" s="15">
        <f>'GS Pay Scale'!J12</f>
        <v>46377</v>
      </c>
      <c r="M34" s="15">
        <f>'GS Pay Scale'!K12</f>
        <v>47598</v>
      </c>
    </row>
    <row r="35" spans="1:13" x14ac:dyDescent="0.2">
      <c r="A35" s="13"/>
      <c r="B35" s="13">
        <v>106</v>
      </c>
      <c r="C35" s="16" t="s">
        <v>41</v>
      </c>
      <c r="D35" s="17">
        <f t="shared" ref="D35:M35" si="15">D36*106</f>
        <v>1407.6799999999998</v>
      </c>
      <c r="E35" s="17">
        <f t="shared" si="15"/>
        <v>1455.38</v>
      </c>
      <c r="F35" s="17">
        <f t="shared" si="15"/>
        <v>1502.02</v>
      </c>
      <c r="G35" s="17">
        <f t="shared" si="15"/>
        <v>1548.6599999999999</v>
      </c>
      <c r="H35" s="17">
        <f t="shared" si="15"/>
        <v>1596.3600000000001</v>
      </c>
      <c r="I35" s="17">
        <f t="shared" si="15"/>
        <v>1643</v>
      </c>
      <c r="J35" s="17">
        <f t="shared" si="15"/>
        <v>1689.6399999999999</v>
      </c>
      <c r="K35" s="17">
        <f t="shared" si="15"/>
        <v>1736.28</v>
      </c>
      <c r="L35" s="17">
        <f t="shared" si="15"/>
        <v>1783.9799999999998</v>
      </c>
      <c r="M35" s="17">
        <f t="shared" si="15"/>
        <v>1830.62</v>
      </c>
    </row>
    <row r="36" spans="1:13" x14ac:dyDescent="0.2">
      <c r="A36" s="13"/>
      <c r="B36" s="13"/>
      <c r="C36" s="16" t="s">
        <v>13</v>
      </c>
      <c r="D36" s="17">
        <f>ROUND(D34/2756,2)</f>
        <v>13.28</v>
      </c>
      <c r="E36" s="17">
        <f t="shared" ref="E36:M36" si="16">ROUND(E34/2756,2)</f>
        <v>13.73</v>
      </c>
      <c r="F36" s="17">
        <f t="shared" si="16"/>
        <v>14.17</v>
      </c>
      <c r="G36" s="17">
        <f t="shared" si="16"/>
        <v>14.61</v>
      </c>
      <c r="H36" s="17">
        <f t="shared" si="16"/>
        <v>15.06</v>
      </c>
      <c r="I36" s="17">
        <f t="shared" si="16"/>
        <v>15.5</v>
      </c>
      <c r="J36" s="17">
        <f t="shared" si="16"/>
        <v>15.94</v>
      </c>
      <c r="K36" s="17">
        <f t="shared" si="16"/>
        <v>16.38</v>
      </c>
      <c r="L36" s="17">
        <f t="shared" si="16"/>
        <v>16.829999999999998</v>
      </c>
      <c r="M36" s="17">
        <f t="shared" si="16"/>
        <v>17.27</v>
      </c>
    </row>
    <row r="37" spans="1:13" x14ac:dyDescent="0.2">
      <c r="A37" s="18"/>
      <c r="B37" s="19">
        <f>($G$3-53)*2</f>
        <v>38</v>
      </c>
      <c r="C37" s="16" t="s">
        <v>42</v>
      </c>
      <c r="D37" s="17">
        <f t="shared" ref="D37:M37" si="17">D38*$B$10</f>
        <v>756.96</v>
      </c>
      <c r="E37" s="17">
        <f t="shared" si="17"/>
        <v>782.80000000000007</v>
      </c>
      <c r="F37" s="17">
        <f t="shared" si="17"/>
        <v>807.88000000000011</v>
      </c>
      <c r="G37" s="17">
        <f t="shared" si="17"/>
        <v>832.96</v>
      </c>
      <c r="H37" s="17">
        <f t="shared" si="17"/>
        <v>858.42</v>
      </c>
      <c r="I37" s="17">
        <f t="shared" si="17"/>
        <v>883.5</v>
      </c>
      <c r="J37" s="17">
        <f t="shared" si="17"/>
        <v>908.58</v>
      </c>
      <c r="K37" s="17">
        <f t="shared" si="17"/>
        <v>933.66</v>
      </c>
      <c r="L37" s="17">
        <f t="shared" si="17"/>
        <v>959.5</v>
      </c>
      <c r="M37" s="17">
        <f t="shared" si="17"/>
        <v>984.58</v>
      </c>
    </row>
    <row r="38" spans="1:13" x14ac:dyDescent="0.2">
      <c r="A38" s="13" t="s">
        <v>18</v>
      </c>
      <c r="B38" s="13"/>
      <c r="C38" s="16" t="s">
        <v>14</v>
      </c>
      <c r="D38" s="17">
        <f>IF(ROUND(D36*1.5,2)&lt;$G$122,ROUND(D36*1.5,2),IF($G$122&lt;D36,D36,$G$122))</f>
        <v>19.920000000000002</v>
      </c>
      <c r="E38" s="17">
        <f t="shared" ref="E38:M38" si="18">IF(ROUND(E36*1.5,2)&lt;$G$122,ROUND(E36*1.5,2),IF($G$122&lt;E36,E36,$G$122))</f>
        <v>20.6</v>
      </c>
      <c r="F38" s="17">
        <f t="shared" si="18"/>
        <v>21.26</v>
      </c>
      <c r="G38" s="17">
        <f t="shared" si="18"/>
        <v>21.92</v>
      </c>
      <c r="H38" s="17">
        <f t="shared" si="18"/>
        <v>22.59</v>
      </c>
      <c r="I38" s="17">
        <f t="shared" si="18"/>
        <v>23.25</v>
      </c>
      <c r="J38" s="17">
        <f t="shared" si="18"/>
        <v>23.91</v>
      </c>
      <c r="K38" s="17">
        <f t="shared" si="18"/>
        <v>24.57</v>
      </c>
      <c r="L38" s="17">
        <f t="shared" si="18"/>
        <v>25.25</v>
      </c>
      <c r="M38" s="17">
        <f t="shared" si="18"/>
        <v>25.91</v>
      </c>
    </row>
    <row r="39" spans="1:13" s="62" customFormat="1" x14ac:dyDescent="0.2">
      <c r="A39" s="61"/>
      <c r="B39" s="61"/>
      <c r="C39" s="32" t="s">
        <v>46</v>
      </c>
      <c r="D39" s="17">
        <f>ROUND(D36*'Start Page'!$F$48,2)*$B$13</f>
        <v>0</v>
      </c>
      <c r="E39" s="17">
        <f>ROUND(E36*'Start Page'!$F$48,2)*$B$13</f>
        <v>0</v>
      </c>
      <c r="F39" s="17">
        <f>ROUND(F36*'Start Page'!$F$48,2)*$B$13</f>
        <v>0</v>
      </c>
      <c r="G39" s="17">
        <f>ROUND(G36*'Start Page'!$F$48,2)*$B$13</f>
        <v>0</v>
      </c>
      <c r="H39" s="17">
        <f>ROUND(H36*'Start Page'!$F$48,2)*$B$13</f>
        <v>0</v>
      </c>
      <c r="I39" s="17">
        <f>ROUND(I36*'Start Page'!$F$48,2)*$B$13</f>
        <v>0</v>
      </c>
      <c r="J39" s="17">
        <f>ROUND(J36*'Start Page'!$F$48,2)*$B$13</f>
        <v>0</v>
      </c>
      <c r="K39" s="17">
        <f>ROUND(K36*'Start Page'!$F$48,2)*$B$13</f>
        <v>0</v>
      </c>
      <c r="L39" s="17">
        <f>ROUND(L36*'Start Page'!$F$48,2)*$B$13</f>
        <v>0</v>
      </c>
      <c r="M39" s="17">
        <f>ROUND(M36*'Start Page'!$F$48,2)*$B$13</f>
        <v>0</v>
      </c>
    </row>
    <row r="40" spans="1:13" x14ac:dyDescent="0.2">
      <c r="A40" s="13"/>
      <c r="B40" s="13">
        <f>B35+B37</f>
        <v>144</v>
      </c>
      <c r="C40" s="20" t="s">
        <v>17</v>
      </c>
      <c r="D40" s="21">
        <f t="shared" ref="D40:M40" si="19">D35+D37+D39</f>
        <v>2164.64</v>
      </c>
      <c r="E40" s="21">
        <f t="shared" si="19"/>
        <v>2238.1800000000003</v>
      </c>
      <c r="F40" s="21">
        <f t="shared" si="19"/>
        <v>2309.9</v>
      </c>
      <c r="G40" s="21">
        <f t="shared" si="19"/>
        <v>2381.62</v>
      </c>
      <c r="H40" s="21">
        <f t="shared" si="19"/>
        <v>2454.7800000000002</v>
      </c>
      <c r="I40" s="21">
        <f t="shared" si="19"/>
        <v>2526.5</v>
      </c>
      <c r="J40" s="21">
        <f t="shared" si="19"/>
        <v>2598.2199999999998</v>
      </c>
      <c r="K40" s="21">
        <f t="shared" si="19"/>
        <v>2669.94</v>
      </c>
      <c r="L40" s="21">
        <f t="shared" si="19"/>
        <v>2743.4799999999996</v>
      </c>
      <c r="M40" s="21">
        <f t="shared" si="19"/>
        <v>2815.2</v>
      </c>
    </row>
    <row r="41" spans="1:13" x14ac:dyDescent="0.2">
      <c r="A41" s="13"/>
      <c r="B41" s="13"/>
      <c r="C41" s="20" t="s">
        <v>33</v>
      </c>
      <c r="D41" s="21">
        <f>D40*'Start Page'!$C$65</f>
        <v>56280.639999999999</v>
      </c>
      <c r="E41" s="21">
        <f>E40*'Start Page'!$C$65</f>
        <v>58192.680000000008</v>
      </c>
      <c r="F41" s="21">
        <f>F40*'Start Page'!$C$65</f>
        <v>60057.4</v>
      </c>
      <c r="G41" s="21">
        <f>G40*'Start Page'!$C$65</f>
        <v>61922.119999999995</v>
      </c>
      <c r="H41" s="21">
        <f>H40*'Start Page'!$C$65</f>
        <v>63824.280000000006</v>
      </c>
      <c r="I41" s="21">
        <f>I40*'Start Page'!$C$65</f>
        <v>65689</v>
      </c>
      <c r="J41" s="21">
        <f>J40*'Start Page'!$C$65</f>
        <v>67553.72</v>
      </c>
      <c r="K41" s="21">
        <f>K40*'Start Page'!$C$65</f>
        <v>69418.44</v>
      </c>
      <c r="L41" s="21">
        <f>L40*'Start Page'!$C$65</f>
        <v>71330.479999999981</v>
      </c>
      <c r="M41" s="21">
        <f>M40*'Start Page'!$C$65</f>
        <v>73195.199999999997</v>
      </c>
    </row>
    <row r="42" spans="1:13" s="25" customFormat="1" x14ac:dyDescent="0.2">
      <c r="A42" s="22"/>
      <c r="B42" s="22"/>
      <c r="C42" s="23" t="s">
        <v>71</v>
      </c>
      <c r="D42" s="24">
        <f>D36*$B$13*'Start Page'!$C$65</f>
        <v>49720.32</v>
      </c>
      <c r="E42" s="24">
        <f>E36*$B$13*'Start Page'!$C$65</f>
        <v>51405.120000000003</v>
      </c>
      <c r="F42" s="24">
        <f>F36*$B$13*'Start Page'!$C$65</f>
        <v>53052.480000000003</v>
      </c>
      <c r="G42" s="24">
        <f>G36*$B$13*'Start Page'!$C$65</f>
        <v>54699.840000000004</v>
      </c>
      <c r="H42" s="24">
        <f>H36*$B$13*'Start Page'!$C$65</f>
        <v>56384.639999999999</v>
      </c>
      <c r="I42" s="24">
        <f>I36*$B$13*'Start Page'!$C$65</f>
        <v>58032</v>
      </c>
      <c r="J42" s="24">
        <f>J36*$B$13*'Start Page'!$C$65</f>
        <v>59679.360000000001</v>
      </c>
      <c r="K42" s="24">
        <f>K36*$B$13*'Start Page'!$C$65</f>
        <v>61326.719999999994</v>
      </c>
      <c r="L42" s="24">
        <f>L36*$B$13*'Start Page'!$C$65</f>
        <v>63011.51999999999</v>
      </c>
      <c r="M42" s="120">
        <f>M36*$B$13*'Start Page'!$C$65</f>
        <v>64658.880000000005</v>
      </c>
    </row>
    <row r="43" spans="1:13" x14ac:dyDescent="0.2">
      <c r="A43" s="13"/>
      <c r="B43" s="13"/>
      <c r="C43" s="14" t="s">
        <v>30</v>
      </c>
      <c r="D43" s="15">
        <f>'GS Pay Scale'!B13</f>
        <v>40684</v>
      </c>
      <c r="E43" s="15">
        <f>'GS Pay Scale'!C13</f>
        <v>42041</v>
      </c>
      <c r="F43" s="15">
        <f>'GS Pay Scale'!D13</f>
        <v>43397</v>
      </c>
      <c r="G43" s="15">
        <f>'GS Pay Scale'!E13</f>
        <v>44754</v>
      </c>
      <c r="H43" s="15">
        <f>'GS Pay Scale'!F13</f>
        <v>46110</v>
      </c>
      <c r="I43" s="15">
        <f>'GS Pay Scale'!G13</f>
        <v>47467</v>
      </c>
      <c r="J43" s="15">
        <f>'GS Pay Scale'!H13</f>
        <v>48823</v>
      </c>
      <c r="K43" s="15">
        <f>'GS Pay Scale'!I13</f>
        <v>50180</v>
      </c>
      <c r="L43" s="15">
        <f>'GS Pay Scale'!J13</f>
        <v>51537</v>
      </c>
      <c r="M43" s="15">
        <f>'GS Pay Scale'!K13</f>
        <v>52893</v>
      </c>
    </row>
    <row r="44" spans="1:13" x14ac:dyDescent="0.2">
      <c r="A44" s="13"/>
      <c r="B44" s="13">
        <v>106</v>
      </c>
      <c r="C44" s="16" t="s">
        <v>41</v>
      </c>
      <c r="D44" s="17">
        <f t="shared" ref="D44:M44" si="20">D45*106</f>
        <v>1564.56</v>
      </c>
      <c r="E44" s="17">
        <f t="shared" si="20"/>
        <v>1616.5</v>
      </c>
      <c r="F44" s="17">
        <f t="shared" si="20"/>
        <v>1669.5</v>
      </c>
      <c r="G44" s="17">
        <f t="shared" si="20"/>
        <v>1721.4399999999998</v>
      </c>
      <c r="H44" s="17">
        <f t="shared" si="20"/>
        <v>1773.38</v>
      </c>
      <c r="I44" s="17">
        <f t="shared" si="20"/>
        <v>1825.32</v>
      </c>
      <c r="J44" s="17">
        <f t="shared" si="20"/>
        <v>1878.32</v>
      </c>
      <c r="K44" s="17">
        <f t="shared" si="20"/>
        <v>1930.26</v>
      </c>
      <c r="L44" s="17">
        <f t="shared" si="20"/>
        <v>1982.1999999999998</v>
      </c>
      <c r="M44" s="17">
        <f t="shared" si="20"/>
        <v>2034.14</v>
      </c>
    </row>
    <row r="45" spans="1:13" x14ac:dyDescent="0.2">
      <c r="A45" s="13"/>
      <c r="B45" s="13"/>
      <c r="C45" s="16" t="s">
        <v>13</v>
      </c>
      <c r="D45" s="17">
        <f>ROUND(D43/2756,2)</f>
        <v>14.76</v>
      </c>
      <c r="E45" s="17">
        <f t="shared" ref="E45:M45" si="21">ROUND(E43/2756,2)</f>
        <v>15.25</v>
      </c>
      <c r="F45" s="17">
        <f t="shared" si="21"/>
        <v>15.75</v>
      </c>
      <c r="G45" s="17">
        <f t="shared" si="21"/>
        <v>16.239999999999998</v>
      </c>
      <c r="H45" s="17">
        <f t="shared" si="21"/>
        <v>16.73</v>
      </c>
      <c r="I45" s="17">
        <f t="shared" si="21"/>
        <v>17.22</v>
      </c>
      <c r="J45" s="17">
        <f t="shared" si="21"/>
        <v>17.72</v>
      </c>
      <c r="K45" s="17">
        <f t="shared" si="21"/>
        <v>18.21</v>
      </c>
      <c r="L45" s="17">
        <f t="shared" si="21"/>
        <v>18.7</v>
      </c>
      <c r="M45" s="17">
        <f t="shared" si="21"/>
        <v>19.190000000000001</v>
      </c>
    </row>
    <row r="46" spans="1:13" x14ac:dyDescent="0.2">
      <c r="A46" s="18"/>
      <c r="B46" s="19">
        <f>($G$3-53)*2</f>
        <v>38</v>
      </c>
      <c r="C46" s="16" t="s">
        <v>42</v>
      </c>
      <c r="D46" s="17">
        <f t="shared" ref="D46:M46" si="22">D47*$B$10</f>
        <v>841.32</v>
      </c>
      <c r="E46" s="17">
        <f t="shared" si="22"/>
        <v>869.43999999999994</v>
      </c>
      <c r="F46" s="17">
        <f t="shared" si="22"/>
        <v>897.93999999999994</v>
      </c>
      <c r="G46" s="17">
        <f t="shared" si="22"/>
        <v>925.68</v>
      </c>
      <c r="H46" s="17">
        <f t="shared" si="22"/>
        <v>953.80000000000007</v>
      </c>
      <c r="I46" s="17">
        <f t="shared" si="22"/>
        <v>981.54</v>
      </c>
      <c r="J46" s="17">
        <f t="shared" si="22"/>
        <v>1010.04</v>
      </c>
      <c r="K46" s="17">
        <f t="shared" si="22"/>
        <v>1038.1600000000001</v>
      </c>
      <c r="L46" s="17">
        <f t="shared" si="22"/>
        <v>1065.9000000000001</v>
      </c>
      <c r="M46" s="17">
        <f t="shared" si="22"/>
        <v>1094.02</v>
      </c>
    </row>
    <row r="47" spans="1:13" x14ac:dyDescent="0.2">
      <c r="A47" s="13" t="s">
        <v>12</v>
      </c>
      <c r="B47" s="13"/>
      <c r="C47" s="16" t="s">
        <v>14</v>
      </c>
      <c r="D47" s="17">
        <f>IF(ROUND(D45*1.5,2)&lt;$G$122,ROUND(D45*1.5,2),IF($G$122&lt;D45,D45,$G$122))</f>
        <v>22.14</v>
      </c>
      <c r="E47" s="17">
        <f t="shared" ref="E47:M47" si="23">IF(ROUND(E45*1.5,2)&lt;$G$122,ROUND(E45*1.5,2),IF($G$122&lt;E45,E45,$G$122))</f>
        <v>22.88</v>
      </c>
      <c r="F47" s="17">
        <f t="shared" si="23"/>
        <v>23.63</v>
      </c>
      <c r="G47" s="17">
        <f t="shared" si="23"/>
        <v>24.36</v>
      </c>
      <c r="H47" s="17">
        <f t="shared" si="23"/>
        <v>25.1</v>
      </c>
      <c r="I47" s="17">
        <f t="shared" si="23"/>
        <v>25.83</v>
      </c>
      <c r="J47" s="17">
        <f t="shared" si="23"/>
        <v>26.58</v>
      </c>
      <c r="K47" s="17">
        <f t="shared" si="23"/>
        <v>27.32</v>
      </c>
      <c r="L47" s="17">
        <f t="shared" si="23"/>
        <v>28.05</v>
      </c>
      <c r="M47" s="17">
        <f t="shared" si="23"/>
        <v>28.79</v>
      </c>
    </row>
    <row r="48" spans="1:13" s="62" customFormat="1" x14ac:dyDescent="0.2">
      <c r="A48" s="61"/>
      <c r="B48" s="61"/>
      <c r="C48" s="32" t="s">
        <v>46</v>
      </c>
      <c r="D48" s="17">
        <f>ROUND(D45*'Start Page'!$F$48,2)*$B$13</f>
        <v>0</v>
      </c>
      <c r="E48" s="17">
        <f>ROUND(E45*'Start Page'!$F$48,2)*$B$13</f>
        <v>0</v>
      </c>
      <c r="F48" s="17">
        <f>ROUND(F45*'Start Page'!$F$48,2)*$B$13</f>
        <v>0</v>
      </c>
      <c r="G48" s="17">
        <f>ROUND(G45*'Start Page'!$F$48,2)*$B$13</f>
        <v>0</v>
      </c>
      <c r="H48" s="17">
        <f>ROUND(H45*'Start Page'!$F$48,2)*$B$13</f>
        <v>0</v>
      </c>
      <c r="I48" s="17">
        <f>ROUND(I45*'Start Page'!$F$48,2)*$B$13</f>
        <v>0</v>
      </c>
      <c r="J48" s="17">
        <f>ROUND(J45*'Start Page'!$F$48,2)*$B$13</f>
        <v>0</v>
      </c>
      <c r="K48" s="17">
        <f>ROUND(K45*'Start Page'!$F$48,2)*$B$13</f>
        <v>0</v>
      </c>
      <c r="L48" s="17">
        <f>ROUND(L45*'Start Page'!$F$48,2)*$B$13</f>
        <v>0</v>
      </c>
      <c r="M48" s="17">
        <f>ROUND(M45*'Start Page'!$F$48,2)*$B$13</f>
        <v>0</v>
      </c>
    </row>
    <row r="49" spans="1:13" x14ac:dyDescent="0.2">
      <c r="A49" s="13"/>
      <c r="B49" s="13">
        <f>B44+B46</f>
        <v>144</v>
      </c>
      <c r="C49" s="20" t="s">
        <v>17</v>
      </c>
      <c r="D49" s="21">
        <f t="shared" ref="D49:M49" si="24">D44+D46+D48</f>
        <v>2405.88</v>
      </c>
      <c r="E49" s="21">
        <f t="shared" si="24"/>
        <v>2485.94</v>
      </c>
      <c r="F49" s="21">
        <f t="shared" si="24"/>
        <v>2567.44</v>
      </c>
      <c r="G49" s="21">
        <f t="shared" si="24"/>
        <v>2647.12</v>
      </c>
      <c r="H49" s="21">
        <f t="shared" si="24"/>
        <v>2727.1800000000003</v>
      </c>
      <c r="I49" s="21">
        <f t="shared" si="24"/>
        <v>2806.8599999999997</v>
      </c>
      <c r="J49" s="21">
        <f t="shared" si="24"/>
        <v>2888.3599999999997</v>
      </c>
      <c r="K49" s="21">
        <f t="shared" si="24"/>
        <v>2968.42</v>
      </c>
      <c r="L49" s="21">
        <f t="shared" si="24"/>
        <v>3048.1</v>
      </c>
      <c r="M49" s="21">
        <f t="shared" si="24"/>
        <v>3128.16</v>
      </c>
    </row>
    <row r="50" spans="1:13" x14ac:dyDescent="0.2">
      <c r="A50" s="13"/>
      <c r="B50" s="13"/>
      <c r="C50" s="20" t="s">
        <v>33</v>
      </c>
      <c r="D50" s="21">
        <f>D49*'Start Page'!$C$65</f>
        <v>62552.880000000005</v>
      </c>
      <c r="E50" s="21">
        <f>E49*'Start Page'!$C$65</f>
        <v>64634.44</v>
      </c>
      <c r="F50" s="21">
        <f>F49*'Start Page'!$C$65</f>
        <v>66753.440000000002</v>
      </c>
      <c r="G50" s="21">
        <f>G49*'Start Page'!$C$65</f>
        <v>68825.119999999995</v>
      </c>
      <c r="H50" s="21">
        <f>H49*'Start Page'!$C$65</f>
        <v>70906.680000000008</v>
      </c>
      <c r="I50" s="21">
        <f>I49*'Start Page'!$C$65</f>
        <v>72978.359999999986</v>
      </c>
      <c r="J50" s="21">
        <f>J49*'Start Page'!$C$65</f>
        <v>75097.359999999986</v>
      </c>
      <c r="K50" s="21">
        <f>K49*'Start Page'!$C$65</f>
        <v>77178.92</v>
      </c>
      <c r="L50" s="21">
        <f>L49*'Start Page'!$C$65</f>
        <v>79250.599999999991</v>
      </c>
      <c r="M50" s="21">
        <f>M49*'Start Page'!$C$65</f>
        <v>81332.160000000003</v>
      </c>
    </row>
    <row r="51" spans="1:13" s="25" customFormat="1" x14ac:dyDescent="0.2">
      <c r="A51" s="22"/>
      <c r="B51" s="22"/>
      <c r="C51" s="23" t="s">
        <v>71</v>
      </c>
      <c r="D51" s="24">
        <f>D45*$B$13*'Start Page'!$C$65</f>
        <v>55261.440000000002</v>
      </c>
      <c r="E51" s="24">
        <f>E45*$B$13*'Start Page'!$C$65</f>
        <v>57096</v>
      </c>
      <c r="F51" s="24">
        <f>F45*$B$13*'Start Page'!$C$65</f>
        <v>58968</v>
      </c>
      <c r="G51" s="24">
        <f>G45*$B$13*'Start Page'!$C$65</f>
        <v>60802.559999999998</v>
      </c>
      <c r="H51" s="24">
        <f>H45*$B$13*'Start Page'!$C$65</f>
        <v>62637.119999999995</v>
      </c>
      <c r="I51" s="24">
        <f>I45*$B$13*'Start Page'!$C$65</f>
        <v>64471.679999999993</v>
      </c>
      <c r="J51" s="24">
        <f>J45*$B$13*'Start Page'!$C$65</f>
        <v>66343.679999999993</v>
      </c>
      <c r="K51" s="24">
        <f>K45*$B$13*'Start Page'!$C$65</f>
        <v>68178.240000000005</v>
      </c>
      <c r="L51" s="24">
        <f>L45*$B$13*'Start Page'!$C$65</f>
        <v>70012.799999999988</v>
      </c>
      <c r="M51" s="120">
        <f>M45*$B$13*'Start Page'!$C$65</f>
        <v>71847.360000000001</v>
      </c>
    </row>
    <row r="52" spans="1:13" x14ac:dyDescent="0.2">
      <c r="A52" s="13"/>
      <c r="B52" s="13"/>
      <c r="C52" s="14" t="s">
        <v>30</v>
      </c>
      <c r="D52" s="15">
        <f>'GS Pay Scale'!B14</f>
        <v>45056</v>
      </c>
      <c r="E52" s="15">
        <f>'GS Pay Scale'!C14</f>
        <v>46558</v>
      </c>
      <c r="F52" s="15">
        <f>'GS Pay Scale'!D14</f>
        <v>48059</v>
      </c>
      <c r="G52" s="15">
        <f>'GS Pay Scale'!E14</f>
        <v>49561</v>
      </c>
      <c r="H52" s="15">
        <f>'GS Pay Scale'!F14</f>
        <v>51062</v>
      </c>
      <c r="I52" s="15">
        <f>'GS Pay Scale'!G14</f>
        <v>52564</v>
      </c>
      <c r="J52" s="15">
        <f>'GS Pay Scale'!H14</f>
        <v>54066</v>
      </c>
      <c r="K52" s="15">
        <f>'GS Pay Scale'!I14</f>
        <v>55567</v>
      </c>
      <c r="L52" s="15">
        <f>'GS Pay Scale'!J14</f>
        <v>57069</v>
      </c>
      <c r="M52" s="15">
        <f>'GS Pay Scale'!K14</f>
        <v>58570</v>
      </c>
    </row>
    <row r="53" spans="1:13" x14ac:dyDescent="0.2">
      <c r="A53" s="13"/>
      <c r="B53" s="13">
        <v>106</v>
      </c>
      <c r="C53" s="16" t="s">
        <v>41</v>
      </c>
      <c r="D53" s="17">
        <f t="shared" ref="D53:M53" si="25">D54*106</f>
        <v>1733.1000000000001</v>
      </c>
      <c r="E53" s="17">
        <f t="shared" si="25"/>
        <v>1790.3400000000001</v>
      </c>
      <c r="F53" s="17">
        <f t="shared" si="25"/>
        <v>1848.64</v>
      </c>
      <c r="G53" s="17">
        <f t="shared" si="25"/>
        <v>1905.88</v>
      </c>
      <c r="H53" s="17">
        <f t="shared" si="25"/>
        <v>1964.18</v>
      </c>
      <c r="I53" s="17">
        <f t="shared" si="25"/>
        <v>2021.42</v>
      </c>
      <c r="J53" s="17">
        <f t="shared" si="25"/>
        <v>2079.7200000000003</v>
      </c>
      <c r="K53" s="17">
        <f t="shared" si="25"/>
        <v>2136.96</v>
      </c>
      <c r="L53" s="17">
        <f t="shared" si="25"/>
        <v>2195.2600000000002</v>
      </c>
      <c r="M53" s="17">
        <f t="shared" si="25"/>
        <v>2252.5</v>
      </c>
    </row>
    <row r="54" spans="1:13" x14ac:dyDescent="0.2">
      <c r="A54" s="13"/>
      <c r="B54" s="13"/>
      <c r="C54" s="16" t="s">
        <v>13</v>
      </c>
      <c r="D54" s="17">
        <f>ROUND(D52/2756,2)</f>
        <v>16.350000000000001</v>
      </c>
      <c r="E54" s="17">
        <f t="shared" ref="E54:M54" si="26">ROUND(E52/2756,2)</f>
        <v>16.89</v>
      </c>
      <c r="F54" s="17">
        <f t="shared" si="26"/>
        <v>17.440000000000001</v>
      </c>
      <c r="G54" s="17">
        <f t="shared" si="26"/>
        <v>17.98</v>
      </c>
      <c r="H54" s="17">
        <f t="shared" si="26"/>
        <v>18.53</v>
      </c>
      <c r="I54" s="17">
        <f t="shared" si="26"/>
        <v>19.07</v>
      </c>
      <c r="J54" s="17">
        <f t="shared" si="26"/>
        <v>19.62</v>
      </c>
      <c r="K54" s="17">
        <f t="shared" si="26"/>
        <v>20.16</v>
      </c>
      <c r="L54" s="17">
        <f t="shared" si="26"/>
        <v>20.71</v>
      </c>
      <c r="M54" s="17">
        <f t="shared" si="26"/>
        <v>21.25</v>
      </c>
    </row>
    <row r="55" spans="1:13" x14ac:dyDescent="0.2">
      <c r="A55" s="18"/>
      <c r="B55" s="19">
        <f>($G$3-53)*2</f>
        <v>38</v>
      </c>
      <c r="C55" s="16" t="s">
        <v>42</v>
      </c>
      <c r="D55" s="17">
        <f t="shared" ref="D55:M55" si="27">D56*$B$10</f>
        <v>932.1400000000001</v>
      </c>
      <c r="E55" s="17">
        <f t="shared" si="27"/>
        <v>962.92</v>
      </c>
      <c r="F55" s="17">
        <f t="shared" si="27"/>
        <v>994.08</v>
      </c>
      <c r="G55" s="17">
        <f t="shared" si="27"/>
        <v>1024.8599999999999</v>
      </c>
      <c r="H55" s="17">
        <f t="shared" si="27"/>
        <v>1056.4000000000001</v>
      </c>
      <c r="I55" s="17">
        <f t="shared" si="27"/>
        <v>1087.18</v>
      </c>
      <c r="J55" s="17">
        <f t="shared" si="27"/>
        <v>1118.3399999999999</v>
      </c>
      <c r="K55" s="17">
        <f t="shared" si="27"/>
        <v>1149.1199999999999</v>
      </c>
      <c r="L55" s="17">
        <f t="shared" si="27"/>
        <v>1180.6600000000001</v>
      </c>
      <c r="M55" s="17">
        <f t="shared" si="27"/>
        <v>1211.44</v>
      </c>
    </row>
    <row r="56" spans="1:13" x14ac:dyDescent="0.2">
      <c r="A56" s="13" t="s">
        <v>15</v>
      </c>
      <c r="B56" s="13"/>
      <c r="C56" s="16" t="s">
        <v>14</v>
      </c>
      <c r="D56" s="17">
        <f>IF(ROUND(D54*1.5,2)&lt;$G$122,ROUND(D54*1.5,2),IF($G$122&lt;D54,D54,$G$122))</f>
        <v>24.53</v>
      </c>
      <c r="E56" s="17">
        <f t="shared" ref="E56:M56" si="28">IF(ROUND(E54*1.5,2)&lt;$G$122,ROUND(E54*1.5,2),IF($G$122&lt;E54,E54,$G$122))</f>
        <v>25.34</v>
      </c>
      <c r="F56" s="17">
        <f t="shared" si="28"/>
        <v>26.16</v>
      </c>
      <c r="G56" s="17">
        <f t="shared" si="28"/>
        <v>26.97</v>
      </c>
      <c r="H56" s="17">
        <f t="shared" si="28"/>
        <v>27.8</v>
      </c>
      <c r="I56" s="17">
        <f t="shared" si="28"/>
        <v>28.61</v>
      </c>
      <c r="J56" s="17">
        <f t="shared" si="28"/>
        <v>29.43</v>
      </c>
      <c r="K56" s="17">
        <f t="shared" si="28"/>
        <v>30.24</v>
      </c>
      <c r="L56" s="17">
        <f t="shared" si="28"/>
        <v>31.07</v>
      </c>
      <c r="M56" s="17">
        <f t="shared" si="28"/>
        <v>31.88</v>
      </c>
    </row>
    <row r="57" spans="1:13" s="62" customFormat="1" x14ac:dyDescent="0.2">
      <c r="A57" s="61"/>
      <c r="B57" s="61"/>
      <c r="C57" s="32" t="s">
        <v>46</v>
      </c>
      <c r="D57" s="17">
        <f>ROUND(D54*'Start Page'!$F$48,2)*$B$13</f>
        <v>0</v>
      </c>
      <c r="E57" s="17">
        <f>ROUND(E54*'Start Page'!$F$48,2)*$B$13</f>
        <v>0</v>
      </c>
      <c r="F57" s="17">
        <f>ROUND(F54*'Start Page'!$F$48,2)*$B$13</f>
        <v>0</v>
      </c>
      <c r="G57" s="17">
        <f>ROUND(G54*'Start Page'!$F$48,2)*$B$13</f>
        <v>0</v>
      </c>
      <c r="H57" s="17">
        <f>ROUND(H54*'Start Page'!$F$48,2)*$B$13</f>
        <v>0</v>
      </c>
      <c r="I57" s="17">
        <f>ROUND(I54*'Start Page'!$F$48,2)*$B$13</f>
        <v>0</v>
      </c>
      <c r="J57" s="17">
        <f>ROUND(J54*'Start Page'!$F$48,2)*$B$13</f>
        <v>0</v>
      </c>
      <c r="K57" s="17">
        <f>ROUND(K54*'Start Page'!$F$48,2)*$B$13</f>
        <v>0</v>
      </c>
      <c r="L57" s="17">
        <f>ROUND(L54*'Start Page'!$F$48,2)*$B$13</f>
        <v>0</v>
      </c>
      <c r="M57" s="17">
        <f>ROUND(M54*'Start Page'!$F$48,2)*$B$13</f>
        <v>0</v>
      </c>
    </row>
    <row r="58" spans="1:13" x14ac:dyDescent="0.2">
      <c r="A58" s="13"/>
      <c r="B58" s="13">
        <f>B53+B55</f>
        <v>144</v>
      </c>
      <c r="C58" s="20" t="s">
        <v>17</v>
      </c>
      <c r="D58" s="21">
        <f t="shared" ref="D58:M58" si="29">D53+D55+D57</f>
        <v>2665.2400000000002</v>
      </c>
      <c r="E58" s="21">
        <f t="shared" si="29"/>
        <v>2753.26</v>
      </c>
      <c r="F58" s="21">
        <f t="shared" si="29"/>
        <v>2842.7200000000003</v>
      </c>
      <c r="G58" s="21">
        <f t="shared" si="29"/>
        <v>2930.74</v>
      </c>
      <c r="H58" s="21">
        <f t="shared" si="29"/>
        <v>3020.58</v>
      </c>
      <c r="I58" s="21">
        <f t="shared" si="29"/>
        <v>3108.6000000000004</v>
      </c>
      <c r="J58" s="21">
        <f t="shared" si="29"/>
        <v>3198.0600000000004</v>
      </c>
      <c r="K58" s="21">
        <f t="shared" si="29"/>
        <v>3286.08</v>
      </c>
      <c r="L58" s="21">
        <f t="shared" si="29"/>
        <v>3375.92</v>
      </c>
      <c r="M58" s="21">
        <f t="shared" si="29"/>
        <v>3463.94</v>
      </c>
    </row>
    <row r="59" spans="1:13" x14ac:dyDescent="0.2">
      <c r="A59" s="13"/>
      <c r="B59" s="13"/>
      <c r="C59" s="20" t="s">
        <v>33</v>
      </c>
      <c r="D59" s="21">
        <f>D58*'Start Page'!$C$65</f>
        <v>69296.240000000005</v>
      </c>
      <c r="E59" s="21">
        <f>E58*'Start Page'!$C$65</f>
        <v>71584.760000000009</v>
      </c>
      <c r="F59" s="21">
        <f>F58*'Start Page'!$C$65</f>
        <v>73910.720000000001</v>
      </c>
      <c r="G59" s="21">
        <f>G58*'Start Page'!$C$65</f>
        <v>76199.239999999991</v>
      </c>
      <c r="H59" s="21">
        <f>H58*'Start Page'!$C$65</f>
        <v>78535.08</v>
      </c>
      <c r="I59" s="21">
        <f>I58*'Start Page'!$C$65</f>
        <v>80823.600000000006</v>
      </c>
      <c r="J59" s="21">
        <f>J58*'Start Page'!$C$65</f>
        <v>83149.560000000012</v>
      </c>
      <c r="K59" s="21">
        <f>K58*'Start Page'!$C$65</f>
        <v>85438.080000000002</v>
      </c>
      <c r="L59" s="21">
        <f>L58*'Start Page'!$C$65</f>
        <v>87773.92</v>
      </c>
      <c r="M59" s="21">
        <f>M58*'Start Page'!$C$65</f>
        <v>90062.44</v>
      </c>
    </row>
    <row r="60" spans="1:13" s="25" customFormat="1" x14ac:dyDescent="0.2">
      <c r="A60" s="22"/>
      <c r="B60" s="22"/>
      <c r="C60" s="23" t="s">
        <v>71</v>
      </c>
      <c r="D60" s="24">
        <f>D54*$B$13*'Start Page'!$C$65</f>
        <v>61214.400000000001</v>
      </c>
      <c r="E60" s="24">
        <f>E54*$B$13*'Start Page'!$C$65</f>
        <v>63236.159999999996</v>
      </c>
      <c r="F60" s="24">
        <f>F54*$B$13*'Start Page'!$C$65</f>
        <v>65295.360000000001</v>
      </c>
      <c r="G60" s="24">
        <f>G54*$B$13*'Start Page'!$C$65</f>
        <v>67317.119999999995</v>
      </c>
      <c r="H60" s="24">
        <f>H54*$B$13*'Start Page'!$C$65</f>
        <v>69376.320000000007</v>
      </c>
      <c r="I60" s="24">
        <f>I54*$B$13*'Start Page'!$C$65</f>
        <v>71398.080000000002</v>
      </c>
      <c r="J60" s="24">
        <f>J54*$B$13*'Start Page'!$C$65</f>
        <v>73457.279999999999</v>
      </c>
      <c r="K60" s="24">
        <f>K54*$B$13*'Start Page'!$C$65</f>
        <v>75479.039999999994</v>
      </c>
      <c r="L60" s="24">
        <f>L54*$B$13*'Start Page'!$C$65</f>
        <v>77538.240000000005</v>
      </c>
      <c r="M60" s="120">
        <f>M54*$B$13*'Start Page'!$C$65</f>
        <v>79560</v>
      </c>
    </row>
    <row r="61" spans="1:13" x14ac:dyDescent="0.2">
      <c r="A61" s="12" t="s">
        <v>0</v>
      </c>
      <c r="B61" s="12" t="s">
        <v>43</v>
      </c>
      <c r="C61" s="12" t="s">
        <v>1</v>
      </c>
      <c r="D61" s="12" t="s">
        <v>2</v>
      </c>
      <c r="E61" s="12" t="s">
        <v>3</v>
      </c>
      <c r="F61" s="12" t="s">
        <v>4</v>
      </c>
      <c r="G61" s="12" t="s">
        <v>5</v>
      </c>
      <c r="H61" s="12" t="s">
        <v>6</v>
      </c>
      <c r="I61" s="12" t="s">
        <v>7</v>
      </c>
      <c r="J61" s="12" t="s">
        <v>8</v>
      </c>
      <c r="K61" s="12" t="s">
        <v>9</v>
      </c>
      <c r="L61" s="12" t="s">
        <v>10</v>
      </c>
      <c r="M61" s="12" t="s">
        <v>11</v>
      </c>
    </row>
    <row r="62" spans="1:13" x14ac:dyDescent="0.2">
      <c r="A62" s="26"/>
      <c r="B62" s="13"/>
      <c r="C62" s="14" t="s">
        <v>30</v>
      </c>
      <c r="D62" s="15">
        <f>'GS Pay Scale'!B15</f>
        <v>49765</v>
      </c>
      <c r="E62" s="15">
        <f>'GS Pay Scale'!C15</f>
        <v>51424</v>
      </c>
      <c r="F62" s="15">
        <f>'GS Pay Scale'!D15</f>
        <v>53083</v>
      </c>
      <c r="G62" s="15">
        <f>'GS Pay Scale'!E15</f>
        <v>54742</v>
      </c>
      <c r="H62" s="15">
        <f>'GS Pay Scale'!F15</f>
        <v>56401</v>
      </c>
      <c r="I62" s="15">
        <f>'GS Pay Scale'!G15</f>
        <v>58060</v>
      </c>
      <c r="J62" s="15">
        <f>'GS Pay Scale'!H15</f>
        <v>59720</v>
      </c>
      <c r="K62" s="15">
        <f>'GS Pay Scale'!I15</f>
        <v>61379</v>
      </c>
      <c r="L62" s="15">
        <f>'GS Pay Scale'!J15</f>
        <v>63038</v>
      </c>
      <c r="M62" s="15">
        <f>'GS Pay Scale'!K15</f>
        <v>64697</v>
      </c>
    </row>
    <row r="63" spans="1:13" x14ac:dyDescent="0.2">
      <c r="A63" s="13"/>
      <c r="B63" s="13">
        <v>106</v>
      </c>
      <c r="C63" s="16" t="s">
        <v>41</v>
      </c>
      <c r="D63" s="17">
        <f t="shared" ref="D63:M63" si="30">D64*106</f>
        <v>1914.36</v>
      </c>
      <c r="E63" s="17">
        <f t="shared" si="30"/>
        <v>1977.96</v>
      </c>
      <c r="F63" s="17">
        <f t="shared" si="30"/>
        <v>2041.5600000000002</v>
      </c>
      <c r="G63" s="17">
        <f t="shared" si="30"/>
        <v>2105.16</v>
      </c>
      <c r="H63" s="17">
        <f t="shared" si="30"/>
        <v>2168.7600000000002</v>
      </c>
      <c r="I63" s="17">
        <f t="shared" si="30"/>
        <v>2233.42</v>
      </c>
      <c r="J63" s="17">
        <f t="shared" si="30"/>
        <v>2297.02</v>
      </c>
      <c r="K63" s="17">
        <f t="shared" si="30"/>
        <v>2360.62</v>
      </c>
      <c r="L63" s="17">
        <f t="shared" si="30"/>
        <v>2424.2200000000003</v>
      </c>
      <c r="M63" s="17">
        <f t="shared" si="30"/>
        <v>2487.8199999999997</v>
      </c>
    </row>
    <row r="64" spans="1:13" x14ac:dyDescent="0.2">
      <c r="A64" s="13"/>
      <c r="B64" s="13"/>
      <c r="C64" s="16" t="s">
        <v>13</v>
      </c>
      <c r="D64" s="17">
        <f>ROUND(D62/2756,2)</f>
        <v>18.059999999999999</v>
      </c>
      <c r="E64" s="17">
        <f t="shared" ref="E64:M64" si="31">ROUND(E62/2756,2)</f>
        <v>18.66</v>
      </c>
      <c r="F64" s="17">
        <f t="shared" si="31"/>
        <v>19.260000000000002</v>
      </c>
      <c r="G64" s="17">
        <f t="shared" si="31"/>
        <v>19.86</v>
      </c>
      <c r="H64" s="17">
        <f t="shared" si="31"/>
        <v>20.46</v>
      </c>
      <c r="I64" s="17">
        <f t="shared" si="31"/>
        <v>21.07</v>
      </c>
      <c r="J64" s="17">
        <f t="shared" si="31"/>
        <v>21.67</v>
      </c>
      <c r="K64" s="17">
        <f t="shared" si="31"/>
        <v>22.27</v>
      </c>
      <c r="L64" s="17">
        <f t="shared" si="31"/>
        <v>22.87</v>
      </c>
      <c r="M64" s="17">
        <f t="shared" si="31"/>
        <v>23.47</v>
      </c>
    </row>
    <row r="65" spans="1:13" x14ac:dyDescent="0.2">
      <c r="A65" s="18"/>
      <c r="B65" s="19">
        <f>($G$3-53)*2</f>
        <v>38</v>
      </c>
      <c r="C65" s="16" t="s">
        <v>42</v>
      </c>
      <c r="D65" s="17">
        <f t="shared" ref="D65:M65" si="32">D66*$B$10</f>
        <v>1029.42</v>
      </c>
      <c r="E65" s="17">
        <f t="shared" si="32"/>
        <v>1063.6199999999999</v>
      </c>
      <c r="F65" s="17">
        <f t="shared" si="32"/>
        <v>1097.82</v>
      </c>
      <c r="G65" s="17">
        <f t="shared" si="32"/>
        <v>1132.02</v>
      </c>
      <c r="H65" s="17">
        <f t="shared" si="32"/>
        <v>1166.22</v>
      </c>
      <c r="I65" s="17">
        <f t="shared" si="32"/>
        <v>1201.18</v>
      </c>
      <c r="J65" s="17">
        <f t="shared" si="32"/>
        <v>1235.3799999999999</v>
      </c>
      <c r="K65" s="17">
        <f t="shared" si="32"/>
        <v>1269.58</v>
      </c>
      <c r="L65" s="17">
        <f t="shared" si="32"/>
        <v>1303.7800000000002</v>
      </c>
      <c r="M65" s="17">
        <f t="shared" si="32"/>
        <v>1337.98</v>
      </c>
    </row>
    <row r="66" spans="1:13" x14ac:dyDescent="0.2">
      <c r="A66" s="13" t="s">
        <v>21</v>
      </c>
      <c r="B66" s="13"/>
      <c r="C66" s="16" t="s">
        <v>14</v>
      </c>
      <c r="D66" s="17">
        <f>IF(ROUND(D64*1.5,2)&lt;$G$122,ROUND(D64*1.5,2),IF($G$122&lt;D64,D64,$G$122))</f>
        <v>27.09</v>
      </c>
      <c r="E66" s="17">
        <f t="shared" ref="E66:M66" si="33">IF(ROUND(E64*1.5,2)&lt;$G$122,ROUND(E64*1.5,2),IF($G$122&lt;E64,E64,$G$122))</f>
        <v>27.99</v>
      </c>
      <c r="F66" s="17">
        <f t="shared" si="33"/>
        <v>28.89</v>
      </c>
      <c r="G66" s="17">
        <f t="shared" si="33"/>
        <v>29.79</v>
      </c>
      <c r="H66" s="17">
        <f t="shared" si="33"/>
        <v>30.69</v>
      </c>
      <c r="I66" s="17">
        <f t="shared" si="33"/>
        <v>31.61</v>
      </c>
      <c r="J66" s="17">
        <f t="shared" si="33"/>
        <v>32.51</v>
      </c>
      <c r="K66" s="17">
        <f t="shared" si="33"/>
        <v>33.409999999999997</v>
      </c>
      <c r="L66" s="17">
        <f t="shared" si="33"/>
        <v>34.31</v>
      </c>
      <c r="M66" s="17">
        <f t="shared" si="33"/>
        <v>35.21</v>
      </c>
    </row>
    <row r="67" spans="1:13" s="62" customFormat="1" x14ac:dyDescent="0.2">
      <c r="A67" s="61"/>
      <c r="B67" s="61"/>
      <c r="C67" s="32" t="s">
        <v>46</v>
      </c>
      <c r="D67" s="17">
        <f>ROUND(D64*'Start Page'!$F$48,2)*$B$13</f>
        <v>0</v>
      </c>
      <c r="E67" s="17">
        <f>ROUND(E64*'Start Page'!$F$48,2)*$B$13</f>
        <v>0</v>
      </c>
      <c r="F67" s="17">
        <f>ROUND(F64*'Start Page'!$F$48,2)*$B$13</f>
        <v>0</v>
      </c>
      <c r="G67" s="17">
        <f>ROUND(G64*'Start Page'!$F$48,2)*$B$13</f>
        <v>0</v>
      </c>
      <c r="H67" s="17">
        <f>ROUND(H64*'Start Page'!$F$48,2)*$B$13</f>
        <v>0</v>
      </c>
      <c r="I67" s="17">
        <f>ROUND(I64*'Start Page'!$F$48,2)*$B$13</f>
        <v>0</v>
      </c>
      <c r="J67" s="17">
        <f>ROUND(J64*'Start Page'!$F$48,2)*$B$13</f>
        <v>0</v>
      </c>
      <c r="K67" s="17">
        <f>ROUND(K64*'Start Page'!$F$48,2)*$B$13</f>
        <v>0</v>
      </c>
      <c r="L67" s="17">
        <f>ROUND(L64*'Start Page'!$F$48,2)*$B$13</f>
        <v>0</v>
      </c>
      <c r="M67" s="17">
        <f>ROUND(M64*'Start Page'!$F$48,2)*$B$13</f>
        <v>0</v>
      </c>
    </row>
    <row r="68" spans="1:13" x14ac:dyDescent="0.2">
      <c r="A68" s="13"/>
      <c r="B68" s="13">
        <f>B63+B65</f>
        <v>144</v>
      </c>
      <c r="C68" s="20" t="s">
        <v>17</v>
      </c>
      <c r="D68" s="21">
        <f t="shared" ref="D68:M68" si="34">D63+D65+D67</f>
        <v>2943.7799999999997</v>
      </c>
      <c r="E68" s="21">
        <f t="shared" si="34"/>
        <v>3041.58</v>
      </c>
      <c r="F68" s="21">
        <f t="shared" si="34"/>
        <v>3139.38</v>
      </c>
      <c r="G68" s="21">
        <f t="shared" si="34"/>
        <v>3237.18</v>
      </c>
      <c r="H68" s="21">
        <f t="shared" si="34"/>
        <v>3334.9800000000005</v>
      </c>
      <c r="I68" s="21">
        <f t="shared" si="34"/>
        <v>3434.6000000000004</v>
      </c>
      <c r="J68" s="21">
        <f t="shared" si="34"/>
        <v>3532.3999999999996</v>
      </c>
      <c r="K68" s="21">
        <f t="shared" si="34"/>
        <v>3630.2</v>
      </c>
      <c r="L68" s="21">
        <f t="shared" si="34"/>
        <v>3728.0000000000005</v>
      </c>
      <c r="M68" s="21">
        <f t="shared" si="34"/>
        <v>3825.7999999999997</v>
      </c>
    </row>
    <row r="69" spans="1:13" x14ac:dyDescent="0.2">
      <c r="A69" s="13"/>
      <c r="B69" s="13"/>
      <c r="C69" s="20" t="s">
        <v>33</v>
      </c>
      <c r="D69" s="21">
        <f>D68*'Start Page'!$C$65</f>
        <v>76538.28</v>
      </c>
      <c r="E69" s="21">
        <f>E68*'Start Page'!$C$65</f>
        <v>79081.08</v>
      </c>
      <c r="F69" s="21">
        <f>F68*'Start Page'!$C$65</f>
        <v>81623.88</v>
      </c>
      <c r="G69" s="21">
        <f>G68*'Start Page'!$C$65</f>
        <v>84166.68</v>
      </c>
      <c r="H69" s="21">
        <f>H68*'Start Page'!$C$65</f>
        <v>86709.48000000001</v>
      </c>
      <c r="I69" s="21">
        <f>I68*'Start Page'!$C$65</f>
        <v>89299.6</v>
      </c>
      <c r="J69" s="21">
        <f>J68*'Start Page'!$C$65</f>
        <v>91842.4</v>
      </c>
      <c r="K69" s="21">
        <f>K68*'Start Page'!$C$65</f>
        <v>94385.2</v>
      </c>
      <c r="L69" s="21">
        <f>L68*'Start Page'!$C$65</f>
        <v>96928.000000000015</v>
      </c>
      <c r="M69" s="21">
        <f>M68*'Start Page'!$C$65</f>
        <v>99470.799999999988</v>
      </c>
    </row>
    <row r="70" spans="1:13" s="25" customFormat="1" x14ac:dyDescent="0.2">
      <c r="A70" s="22"/>
      <c r="B70" s="22"/>
      <c r="C70" s="23" t="s">
        <v>71</v>
      </c>
      <c r="D70" s="24">
        <f>D64*$B$13*'Start Page'!$C$65</f>
        <v>67616.639999999999</v>
      </c>
      <c r="E70" s="24">
        <f>E64*$B$13*'Start Page'!$C$65</f>
        <v>69863.039999999994</v>
      </c>
      <c r="F70" s="24">
        <f>F64*$B$13*'Start Page'!$C$65</f>
        <v>72109.440000000002</v>
      </c>
      <c r="G70" s="24">
        <f>G64*$B$13*'Start Page'!$C$65</f>
        <v>74355.839999999997</v>
      </c>
      <c r="H70" s="24">
        <f>H64*$B$13*'Start Page'!$C$65</f>
        <v>76602.240000000005</v>
      </c>
      <c r="I70" s="24">
        <f>I64*$B$13*'Start Page'!$C$65</f>
        <v>78886.080000000002</v>
      </c>
      <c r="J70" s="24">
        <f>J64*$B$13*'Start Page'!$C$65</f>
        <v>81132.48000000001</v>
      </c>
      <c r="K70" s="24">
        <f>K64*$B$13*'Start Page'!$C$65</f>
        <v>83378.880000000005</v>
      </c>
      <c r="L70" s="24">
        <f>L64*$B$13*'Start Page'!$C$65</f>
        <v>85625.279999999999</v>
      </c>
      <c r="M70" s="120">
        <f>M64*$B$13*'Start Page'!$C$65</f>
        <v>87871.679999999993</v>
      </c>
    </row>
    <row r="71" spans="1:13" x14ac:dyDescent="0.2">
      <c r="A71" s="13"/>
      <c r="B71" s="13"/>
      <c r="C71" s="14" t="s">
        <v>30</v>
      </c>
      <c r="D71" s="15">
        <f>'GS Pay Scale'!B16</f>
        <v>54803</v>
      </c>
      <c r="E71" s="15">
        <f>'GS Pay Scale'!C16</f>
        <v>56630</v>
      </c>
      <c r="F71" s="15">
        <f>'GS Pay Scale'!D16</f>
        <v>58457</v>
      </c>
      <c r="G71" s="15">
        <f>'GS Pay Scale'!E16</f>
        <v>60285</v>
      </c>
      <c r="H71" s="15">
        <f>'GS Pay Scale'!F16</f>
        <v>62112</v>
      </c>
      <c r="I71" s="15">
        <f>'GS Pay Scale'!G16</f>
        <v>63939</v>
      </c>
      <c r="J71" s="15">
        <f>'GS Pay Scale'!H16</f>
        <v>65766</v>
      </c>
      <c r="K71" s="15">
        <f>'GS Pay Scale'!I16</f>
        <v>67593</v>
      </c>
      <c r="L71" s="15">
        <f>'GS Pay Scale'!J16</f>
        <v>69420</v>
      </c>
      <c r="M71" s="15">
        <f>'GS Pay Scale'!K16</f>
        <v>71247</v>
      </c>
    </row>
    <row r="72" spans="1:13" x14ac:dyDescent="0.2">
      <c r="A72" s="13"/>
      <c r="B72" s="13">
        <v>106</v>
      </c>
      <c r="C72" s="16" t="s">
        <v>41</v>
      </c>
      <c r="D72" s="17">
        <f t="shared" ref="D72:M72" si="35">D73*106</f>
        <v>2107.2799999999997</v>
      </c>
      <c r="E72" s="17">
        <f t="shared" si="35"/>
        <v>2178.3000000000002</v>
      </c>
      <c r="F72" s="17">
        <f t="shared" si="35"/>
        <v>2248.2600000000002</v>
      </c>
      <c r="G72" s="17">
        <f t="shared" si="35"/>
        <v>2318.2200000000003</v>
      </c>
      <c r="H72" s="17">
        <f t="shared" si="35"/>
        <v>2389.2399999999998</v>
      </c>
      <c r="I72" s="17">
        <f t="shared" si="35"/>
        <v>2459.1999999999998</v>
      </c>
      <c r="J72" s="17">
        <f t="shared" si="35"/>
        <v>2529.16</v>
      </c>
      <c r="K72" s="17">
        <f t="shared" si="35"/>
        <v>2600.1800000000003</v>
      </c>
      <c r="L72" s="17">
        <f t="shared" si="35"/>
        <v>2670.1400000000003</v>
      </c>
      <c r="M72" s="17">
        <f t="shared" si="35"/>
        <v>2740.1000000000004</v>
      </c>
    </row>
    <row r="73" spans="1:13" x14ac:dyDescent="0.2">
      <c r="A73" s="13"/>
      <c r="B73" s="13"/>
      <c r="C73" s="16" t="s">
        <v>13</v>
      </c>
      <c r="D73" s="17">
        <f t="shared" ref="D73:M73" si="36">ROUND(D71/2756,2)</f>
        <v>19.88</v>
      </c>
      <c r="E73" s="17">
        <f t="shared" si="36"/>
        <v>20.55</v>
      </c>
      <c r="F73" s="17">
        <f t="shared" si="36"/>
        <v>21.21</v>
      </c>
      <c r="G73" s="17">
        <f t="shared" si="36"/>
        <v>21.87</v>
      </c>
      <c r="H73" s="17">
        <f t="shared" si="36"/>
        <v>22.54</v>
      </c>
      <c r="I73" s="17">
        <f t="shared" si="36"/>
        <v>23.2</v>
      </c>
      <c r="J73" s="17">
        <f t="shared" si="36"/>
        <v>23.86</v>
      </c>
      <c r="K73" s="17">
        <f t="shared" si="36"/>
        <v>24.53</v>
      </c>
      <c r="L73" s="17">
        <f t="shared" si="36"/>
        <v>25.19</v>
      </c>
      <c r="M73" s="17">
        <f t="shared" si="36"/>
        <v>25.85</v>
      </c>
    </row>
    <row r="74" spans="1:13" x14ac:dyDescent="0.2">
      <c r="A74" s="18"/>
      <c r="B74" s="19">
        <f>($G$3-53)*2</f>
        <v>38</v>
      </c>
      <c r="C74" s="16" t="s">
        <v>42</v>
      </c>
      <c r="D74" s="17">
        <f t="shared" ref="D74:M74" si="37">D75*$B$10</f>
        <v>1133.1600000000001</v>
      </c>
      <c r="E74" s="17">
        <f t="shared" si="37"/>
        <v>1171.54</v>
      </c>
      <c r="F74" s="17">
        <f t="shared" si="37"/>
        <v>1209.1600000000001</v>
      </c>
      <c r="G74" s="17">
        <f t="shared" si="37"/>
        <v>1246.7800000000002</v>
      </c>
      <c r="H74" s="17">
        <f t="shared" si="37"/>
        <v>1284.7800000000002</v>
      </c>
      <c r="I74" s="17">
        <f t="shared" si="37"/>
        <v>1322.3999999999999</v>
      </c>
      <c r="J74" s="17">
        <f t="shared" si="37"/>
        <v>1360.02</v>
      </c>
      <c r="K74" s="17">
        <f t="shared" si="37"/>
        <v>1398.3999999999999</v>
      </c>
      <c r="L74" s="17">
        <f t="shared" si="37"/>
        <v>1436.02</v>
      </c>
      <c r="M74" s="17">
        <f t="shared" si="37"/>
        <v>1473.64</v>
      </c>
    </row>
    <row r="75" spans="1:13" x14ac:dyDescent="0.2">
      <c r="A75" s="13" t="s">
        <v>25</v>
      </c>
      <c r="B75" s="13"/>
      <c r="C75" s="16" t="s">
        <v>14</v>
      </c>
      <c r="D75" s="17">
        <f t="shared" ref="D75:M75" si="38">IF(ROUND(D73*1.5,2)&lt;$G$122,ROUND(D73*1.5,2),IF($G$122&lt;D73,D73,$G$122))</f>
        <v>29.82</v>
      </c>
      <c r="E75" s="17">
        <f t="shared" si="38"/>
        <v>30.83</v>
      </c>
      <c r="F75" s="17">
        <f t="shared" si="38"/>
        <v>31.82</v>
      </c>
      <c r="G75" s="17">
        <f t="shared" si="38"/>
        <v>32.81</v>
      </c>
      <c r="H75" s="17">
        <f t="shared" si="38"/>
        <v>33.81</v>
      </c>
      <c r="I75" s="17">
        <f t="shared" si="38"/>
        <v>34.799999999999997</v>
      </c>
      <c r="J75" s="17">
        <f t="shared" si="38"/>
        <v>35.79</v>
      </c>
      <c r="K75" s="17">
        <f t="shared" si="38"/>
        <v>36.799999999999997</v>
      </c>
      <c r="L75" s="17">
        <f t="shared" si="38"/>
        <v>37.79</v>
      </c>
      <c r="M75" s="17">
        <f t="shared" si="38"/>
        <v>38.78</v>
      </c>
    </row>
    <row r="76" spans="1:13" s="62" customFormat="1" x14ac:dyDescent="0.2">
      <c r="A76" s="61"/>
      <c r="B76" s="61"/>
      <c r="C76" s="32" t="s">
        <v>46</v>
      </c>
      <c r="D76" s="17">
        <f>ROUND(D73*'Start Page'!$F$48,2)*$B$13</f>
        <v>0</v>
      </c>
      <c r="E76" s="17">
        <f>ROUND(E73*'Start Page'!$F$48,2)*$B$13</f>
        <v>0</v>
      </c>
      <c r="F76" s="17">
        <f>ROUND(F73*'Start Page'!$F$48,2)*$B$13</f>
        <v>0</v>
      </c>
      <c r="G76" s="17">
        <f>ROUND(G73*'Start Page'!$F$48,2)*$B$13</f>
        <v>0</v>
      </c>
      <c r="H76" s="17">
        <f>ROUND(H73*'Start Page'!$F$48,2)*$B$13</f>
        <v>0</v>
      </c>
      <c r="I76" s="17">
        <f>ROUND(I73*'Start Page'!$F$48,2)*$B$13</f>
        <v>0</v>
      </c>
      <c r="J76" s="17">
        <f>ROUND(J73*'Start Page'!$F$48,2)*$B$13</f>
        <v>0</v>
      </c>
      <c r="K76" s="17">
        <f>ROUND(K73*'Start Page'!$F$48,2)*$B$13</f>
        <v>0</v>
      </c>
      <c r="L76" s="17">
        <f>ROUND(L73*'Start Page'!$F$48,2)*$B$13</f>
        <v>0</v>
      </c>
      <c r="M76" s="17">
        <f>ROUND(M73*'Start Page'!$F$48,2)*$B$13</f>
        <v>0</v>
      </c>
    </row>
    <row r="77" spans="1:13" x14ac:dyDescent="0.2">
      <c r="A77" s="13"/>
      <c r="B77" s="13">
        <f>B72+B74</f>
        <v>144</v>
      </c>
      <c r="C77" s="20" t="s">
        <v>17</v>
      </c>
      <c r="D77" s="21">
        <f t="shared" ref="D77:M77" si="39">D72+D74+D76</f>
        <v>3240.4399999999996</v>
      </c>
      <c r="E77" s="21">
        <f t="shared" si="39"/>
        <v>3349.84</v>
      </c>
      <c r="F77" s="21">
        <f t="shared" si="39"/>
        <v>3457.42</v>
      </c>
      <c r="G77" s="21">
        <f t="shared" si="39"/>
        <v>3565.0000000000005</v>
      </c>
      <c r="H77" s="21">
        <f t="shared" si="39"/>
        <v>3674.02</v>
      </c>
      <c r="I77" s="21">
        <f t="shared" si="39"/>
        <v>3781.5999999999995</v>
      </c>
      <c r="J77" s="21">
        <f t="shared" si="39"/>
        <v>3889.18</v>
      </c>
      <c r="K77" s="21">
        <f t="shared" si="39"/>
        <v>3998.58</v>
      </c>
      <c r="L77" s="21">
        <f t="shared" si="39"/>
        <v>4106.16</v>
      </c>
      <c r="M77" s="21">
        <f t="shared" si="39"/>
        <v>4213.7400000000007</v>
      </c>
    </row>
    <row r="78" spans="1:13" x14ac:dyDescent="0.2">
      <c r="A78" s="13"/>
      <c r="B78" s="13"/>
      <c r="C78" s="20" t="s">
        <v>33</v>
      </c>
      <c r="D78" s="21">
        <f>D77*'Start Page'!$C$65</f>
        <v>84251.439999999988</v>
      </c>
      <c r="E78" s="21">
        <f>E77*'Start Page'!$C$65</f>
        <v>87095.84</v>
      </c>
      <c r="F78" s="21">
        <f>F77*'Start Page'!$C$65</f>
        <v>89892.92</v>
      </c>
      <c r="G78" s="21">
        <f>G77*'Start Page'!$C$65</f>
        <v>92690.000000000015</v>
      </c>
      <c r="H78" s="21">
        <f>H77*'Start Page'!$C$65</f>
        <v>95524.52</v>
      </c>
      <c r="I78" s="21">
        <f>I77*'Start Page'!$C$65</f>
        <v>98321.599999999991</v>
      </c>
      <c r="J78" s="21">
        <f>J77*'Start Page'!$C$65</f>
        <v>101118.68</v>
      </c>
      <c r="K78" s="21">
        <f>K77*'Start Page'!$C$65</f>
        <v>103963.08</v>
      </c>
      <c r="L78" s="21">
        <f>L77*'Start Page'!$C$65</f>
        <v>106760.16</v>
      </c>
      <c r="M78" s="21">
        <f>M77*'Start Page'!$C$65</f>
        <v>109557.24000000002</v>
      </c>
    </row>
    <row r="79" spans="1:13" s="25" customFormat="1" x14ac:dyDescent="0.2">
      <c r="A79" s="22"/>
      <c r="B79" s="22"/>
      <c r="C79" s="23" t="s">
        <v>71</v>
      </c>
      <c r="D79" s="24">
        <f>D73*$B$13*'Start Page'!$C$65</f>
        <v>74430.720000000001</v>
      </c>
      <c r="E79" s="24">
        <f>E73*$B$13*'Start Page'!$C$65</f>
        <v>76939.200000000012</v>
      </c>
      <c r="F79" s="24">
        <f>F73*$B$13*'Start Page'!$C$65</f>
        <v>79410.240000000005</v>
      </c>
      <c r="G79" s="24">
        <f>G73*$B$13*'Start Page'!$C$65</f>
        <v>81881.279999999999</v>
      </c>
      <c r="H79" s="24">
        <f>H73*$B$13*'Start Page'!$C$65</f>
        <v>84389.759999999995</v>
      </c>
      <c r="I79" s="24">
        <f>I73*$B$13*'Start Page'!$C$65</f>
        <v>86860.799999999988</v>
      </c>
      <c r="J79" s="24">
        <f>J73*$B$13*'Start Page'!$C$65</f>
        <v>89331.839999999997</v>
      </c>
      <c r="K79" s="24">
        <f>K73*$B$13*'Start Page'!$C$65</f>
        <v>91840.320000000007</v>
      </c>
      <c r="L79" s="24">
        <f>L73*$B$13*'Start Page'!$C$65</f>
        <v>94311.360000000001</v>
      </c>
      <c r="M79" s="120">
        <f>M73*$B$13*'Start Page'!$C$65</f>
        <v>96782.400000000009</v>
      </c>
    </row>
    <row r="80" spans="1:13" x14ac:dyDescent="0.2">
      <c r="A80" s="13"/>
      <c r="B80" s="13"/>
      <c r="C80" s="14" t="s">
        <v>30</v>
      </c>
      <c r="D80" s="15">
        <f>'GS Pay Scale'!B17</f>
        <v>60210</v>
      </c>
      <c r="E80" s="15">
        <f>'GS Pay Scale'!C17</f>
        <v>62216</v>
      </c>
      <c r="F80" s="15">
        <f>'GS Pay Scale'!D17</f>
        <v>64223</v>
      </c>
      <c r="G80" s="15">
        <f>'GS Pay Scale'!E17</f>
        <v>66230</v>
      </c>
      <c r="H80" s="15">
        <f>'GS Pay Scale'!F17</f>
        <v>68236</v>
      </c>
      <c r="I80" s="15">
        <f>'GS Pay Scale'!G17</f>
        <v>70243</v>
      </c>
      <c r="J80" s="15">
        <f>'GS Pay Scale'!H17</f>
        <v>72250</v>
      </c>
      <c r="K80" s="15">
        <f>'GS Pay Scale'!I17</f>
        <v>74256</v>
      </c>
      <c r="L80" s="15">
        <f>'GS Pay Scale'!J17</f>
        <v>76263</v>
      </c>
      <c r="M80" s="15">
        <f>'GS Pay Scale'!K17</f>
        <v>78270</v>
      </c>
    </row>
    <row r="81" spans="1:13" x14ac:dyDescent="0.2">
      <c r="A81" s="13"/>
      <c r="B81" s="13">
        <v>106</v>
      </c>
      <c r="C81" s="16" t="s">
        <v>41</v>
      </c>
      <c r="D81" s="17">
        <f t="shared" ref="D81:M81" si="40">D82*106</f>
        <v>2316.1000000000004</v>
      </c>
      <c r="E81" s="17">
        <f t="shared" si="40"/>
        <v>2392.42</v>
      </c>
      <c r="F81" s="17">
        <f t="shared" si="40"/>
        <v>2469.8000000000002</v>
      </c>
      <c r="G81" s="17">
        <f t="shared" si="40"/>
        <v>2547.1800000000003</v>
      </c>
      <c r="H81" s="17">
        <f t="shared" si="40"/>
        <v>2624.56</v>
      </c>
      <c r="I81" s="17">
        <f t="shared" si="40"/>
        <v>2701.94</v>
      </c>
      <c r="J81" s="17">
        <f t="shared" si="40"/>
        <v>2779.3199999999997</v>
      </c>
      <c r="K81" s="17">
        <f t="shared" si="40"/>
        <v>2855.6400000000003</v>
      </c>
      <c r="L81" s="17">
        <f t="shared" si="40"/>
        <v>2933.02</v>
      </c>
      <c r="M81" s="17">
        <f t="shared" si="40"/>
        <v>3010.3999999999996</v>
      </c>
    </row>
    <row r="82" spans="1:13" x14ac:dyDescent="0.2">
      <c r="A82" s="13"/>
      <c r="B82" s="13"/>
      <c r="C82" s="16" t="s">
        <v>13</v>
      </c>
      <c r="D82" s="17">
        <f t="shared" ref="D82:M82" si="41">ROUND(D80/2756,2)</f>
        <v>21.85</v>
      </c>
      <c r="E82" s="17">
        <f t="shared" si="41"/>
        <v>22.57</v>
      </c>
      <c r="F82" s="17">
        <f t="shared" si="41"/>
        <v>23.3</v>
      </c>
      <c r="G82" s="17">
        <f t="shared" si="41"/>
        <v>24.03</v>
      </c>
      <c r="H82" s="17">
        <f t="shared" si="41"/>
        <v>24.76</v>
      </c>
      <c r="I82" s="17">
        <f t="shared" si="41"/>
        <v>25.49</v>
      </c>
      <c r="J82" s="17">
        <f t="shared" si="41"/>
        <v>26.22</v>
      </c>
      <c r="K82" s="17">
        <f t="shared" si="41"/>
        <v>26.94</v>
      </c>
      <c r="L82" s="17">
        <f t="shared" si="41"/>
        <v>27.67</v>
      </c>
      <c r="M82" s="17">
        <f t="shared" si="41"/>
        <v>28.4</v>
      </c>
    </row>
    <row r="83" spans="1:13" x14ac:dyDescent="0.2">
      <c r="A83" s="18"/>
      <c r="B83" s="19">
        <f>($G$3-53)*2</f>
        <v>38</v>
      </c>
      <c r="C83" s="16" t="s">
        <v>42</v>
      </c>
      <c r="D83" s="17">
        <f t="shared" ref="D83:M83" si="42">D84*$B$10</f>
        <v>1245.6400000000001</v>
      </c>
      <c r="E83" s="17">
        <f t="shared" si="42"/>
        <v>1286.68</v>
      </c>
      <c r="F83" s="17">
        <f t="shared" si="42"/>
        <v>1328.1000000000001</v>
      </c>
      <c r="G83" s="17">
        <f t="shared" si="42"/>
        <v>1369.8999999999999</v>
      </c>
      <c r="H83" s="17">
        <f t="shared" si="42"/>
        <v>1411.32</v>
      </c>
      <c r="I83" s="17">
        <f t="shared" si="42"/>
        <v>1453.1200000000001</v>
      </c>
      <c r="J83" s="17">
        <f t="shared" si="42"/>
        <v>1494.54</v>
      </c>
      <c r="K83" s="17">
        <f t="shared" si="42"/>
        <v>1496.82</v>
      </c>
      <c r="L83" s="17">
        <f t="shared" si="42"/>
        <v>1496.82</v>
      </c>
      <c r="M83" s="17">
        <f t="shared" si="42"/>
        <v>1496.82</v>
      </c>
    </row>
    <row r="84" spans="1:13" x14ac:dyDescent="0.2">
      <c r="A84" s="13" t="s">
        <v>16</v>
      </c>
      <c r="B84" s="13"/>
      <c r="C84" s="16" t="s">
        <v>14</v>
      </c>
      <c r="D84" s="17">
        <f t="shared" ref="D84:M84" si="43">IF(ROUND(D82*1.5,2)&lt;$G$122,ROUND(D82*1.5,2),IF($G$122&lt;D82,D82,$G$122))</f>
        <v>32.78</v>
      </c>
      <c r="E84" s="17">
        <f t="shared" si="43"/>
        <v>33.86</v>
      </c>
      <c r="F84" s="17">
        <f t="shared" si="43"/>
        <v>34.950000000000003</v>
      </c>
      <c r="G84" s="17">
        <f t="shared" si="43"/>
        <v>36.049999999999997</v>
      </c>
      <c r="H84" s="17">
        <f t="shared" si="43"/>
        <v>37.14</v>
      </c>
      <c r="I84" s="17">
        <f t="shared" si="43"/>
        <v>38.24</v>
      </c>
      <c r="J84" s="17">
        <f t="shared" si="43"/>
        <v>39.33</v>
      </c>
      <c r="K84" s="17">
        <f t="shared" si="43"/>
        <v>39.39</v>
      </c>
      <c r="L84" s="17">
        <f t="shared" si="43"/>
        <v>39.39</v>
      </c>
      <c r="M84" s="17">
        <f t="shared" si="43"/>
        <v>39.39</v>
      </c>
    </row>
    <row r="85" spans="1:13" s="62" customFormat="1" x14ac:dyDescent="0.2">
      <c r="A85" s="61"/>
      <c r="B85" s="61"/>
      <c r="C85" s="32" t="s">
        <v>46</v>
      </c>
      <c r="D85" s="17">
        <f>ROUND(D82*'Start Page'!$F$48,2)*$B$13</f>
        <v>0</v>
      </c>
      <c r="E85" s="17">
        <f>ROUND(E82*'Start Page'!$F$48,2)*$B$13</f>
        <v>0</v>
      </c>
      <c r="F85" s="17">
        <f>ROUND(F82*'Start Page'!$F$48,2)*$B$13</f>
        <v>0</v>
      </c>
      <c r="G85" s="17">
        <f>ROUND(G82*'Start Page'!$F$48,2)*$B$13</f>
        <v>0</v>
      </c>
      <c r="H85" s="17">
        <f>ROUND(H82*'Start Page'!$F$48,2)*$B$13</f>
        <v>0</v>
      </c>
      <c r="I85" s="17">
        <f>ROUND(I82*'Start Page'!$F$48,2)*$B$13</f>
        <v>0</v>
      </c>
      <c r="J85" s="17">
        <f>ROUND(J82*'Start Page'!$F$48,2)*$B$13</f>
        <v>0</v>
      </c>
      <c r="K85" s="17">
        <f>ROUND(K82*'Start Page'!$F$48,2)*$B$13</f>
        <v>0</v>
      </c>
      <c r="L85" s="17">
        <f>ROUND(L82*'Start Page'!$F$48,2)*$B$13</f>
        <v>0</v>
      </c>
      <c r="M85" s="17">
        <f>ROUND(M82*'Start Page'!$F$48,2)*$B$13</f>
        <v>0</v>
      </c>
    </row>
    <row r="86" spans="1:13" x14ac:dyDescent="0.2">
      <c r="A86" s="13"/>
      <c r="B86" s="13">
        <f>B81+B83</f>
        <v>144</v>
      </c>
      <c r="C86" s="20" t="s">
        <v>17</v>
      </c>
      <c r="D86" s="21">
        <f t="shared" ref="D86:M86" si="44">D81+D83+D85</f>
        <v>3561.7400000000007</v>
      </c>
      <c r="E86" s="21">
        <f t="shared" si="44"/>
        <v>3679.1000000000004</v>
      </c>
      <c r="F86" s="21">
        <f t="shared" si="44"/>
        <v>3797.9000000000005</v>
      </c>
      <c r="G86" s="21">
        <f t="shared" si="44"/>
        <v>3917.08</v>
      </c>
      <c r="H86" s="21">
        <f t="shared" si="44"/>
        <v>4035.88</v>
      </c>
      <c r="I86" s="21">
        <f t="shared" si="44"/>
        <v>4155.0600000000004</v>
      </c>
      <c r="J86" s="21">
        <f t="shared" si="44"/>
        <v>4273.8599999999997</v>
      </c>
      <c r="K86" s="21">
        <f t="shared" si="44"/>
        <v>4352.46</v>
      </c>
      <c r="L86" s="21">
        <f t="shared" si="44"/>
        <v>4429.84</v>
      </c>
      <c r="M86" s="21">
        <f t="shared" si="44"/>
        <v>4507.2199999999993</v>
      </c>
    </row>
    <row r="87" spans="1:13" x14ac:dyDescent="0.2">
      <c r="A87" s="13"/>
      <c r="B87" s="13"/>
      <c r="C87" s="20" t="s">
        <v>33</v>
      </c>
      <c r="D87" s="21">
        <f>D86*'Start Page'!$C$65</f>
        <v>92605.24000000002</v>
      </c>
      <c r="E87" s="21">
        <f>E86*'Start Page'!$C$65</f>
        <v>95656.6</v>
      </c>
      <c r="F87" s="21">
        <f>F86*'Start Page'!$C$65</f>
        <v>98745.400000000009</v>
      </c>
      <c r="G87" s="21">
        <f>G86*'Start Page'!$C$65</f>
        <v>101844.08</v>
      </c>
      <c r="H87" s="21">
        <f>H86*'Start Page'!$C$65</f>
        <v>104932.88</v>
      </c>
      <c r="I87" s="21">
        <f>I86*'Start Page'!$C$65</f>
        <v>108031.56000000001</v>
      </c>
      <c r="J87" s="21">
        <f>J86*'Start Page'!$C$65</f>
        <v>111120.35999999999</v>
      </c>
      <c r="K87" s="21">
        <f>K86*'Start Page'!$C$65</f>
        <v>113163.96</v>
      </c>
      <c r="L87" s="21">
        <f>L86*'Start Page'!$C$65</f>
        <v>115175.84</v>
      </c>
      <c r="M87" s="21">
        <f>M86*'Start Page'!$C$65</f>
        <v>117187.71999999999</v>
      </c>
    </row>
    <row r="88" spans="1:13" s="25" customFormat="1" x14ac:dyDescent="0.2">
      <c r="A88" s="22"/>
      <c r="B88" s="22"/>
      <c r="C88" s="23" t="s">
        <v>71</v>
      </c>
      <c r="D88" s="24">
        <f>D82*$B$13*'Start Page'!$C$65</f>
        <v>81806.400000000009</v>
      </c>
      <c r="E88" s="24">
        <f>E82*$B$13*'Start Page'!$C$65</f>
        <v>84502.080000000002</v>
      </c>
      <c r="F88" s="24">
        <f>F82*$B$13*'Start Page'!$C$65</f>
        <v>87235.200000000012</v>
      </c>
      <c r="G88" s="24">
        <f>G82*$B$13*'Start Page'!$C$65</f>
        <v>89968.320000000007</v>
      </c>
      <c r="H88" s="24">
        <f>H82*$B$13*'Start Page'!$C$65</f>
        <v>92701.440000000002</v>
      </c>
      <c r="I88" s="24">
        <f>I82*$B$13*'Start Page'!$C$65</f>
        <v>95434.559999999998</v>
      </c>
      <c r="J88" s="24">
        <f>J82*$B$13*'Start Page'!$C$65</f>
        <v>98167.679999999993</v>
      </c>
      <c r="K88" s="24">
        <f>K82*$B$13*'Start Page'!$C$65</f>
        <v>100863.36</v>
      </c>
      <c r="L88" s="24">
        <f>L82*$B$13*'Start Page'!$C$65</f>
        <v>103596.48000000001</v>
      </c>
      <c r="M88" s="120">
        <f>M82*$B$13*'Start Page'!$C$65</f>
        <v>106329.59999999999</v>
      </c>
    </row>
    <row r="89" spans="1:13" x14ac:dyDescent="0.2">
      <c r="A89" s="13"/>
      <c r="B89" s="13"/>
      <c r="C89" s="14" t="s">
        <v>30</v>
      </c>
      <c r="D89" s="15">
        <f>'GS Pay Scale'!B18</f>
        <v>72168</v>
      </c>
      <c r="E89" s="15">
        <f>'GS Pay Scale'!C18</f>
        <v>74574</v>
      </c>
      <c r="F89" s="15">
        <f>'GS Pay Scale'!D18</f>
        <v>76980</v>
      </c>
      <c r="G89" s="15">
        <f>'GS Pay Scale'!E18</f>
        <v>79386</v>
      </c>
      <c r="H89" s="15">
        <f>'GS Pay Scale'!F18</f>
        <v>81792</v>
      </c>
      <c r="I89" s="15">
        <f>'GS Pay Scale'!G18</f>
        <v>84197</v>
      </c>
      <c r="J89" s="15">
        <f>'GS Pay Scale'!H18</f>
        <v>86603</v>
      </c>
      <c r="K89" s="15">
        <f>'GS Pay Scale'!I18</f>
        <v>89009</v>
      </c>
      <c r="L89" s="15">
        <f>'GS Pay Scale'!J18</f>
        <v>91415</v>
      </c>
      <c r="M89" s="15">
        <f>'GS Pay Scale'!K18</f>
        <v>93821</v>
      </c>
    </row>
    <row r="90" spans="1:13" x14ac:dyDescent="0.2">
      <c r="A90" s="13"/>
      <c r="B90" s="13">
        <v>106</v>
      </c>
      <c r="C90" s="16" t="s">
        <v>41</v>
      </c>
      <c r="D90" s="17">
        <f t="shared" ref="D90:M90" si="45">D91*106</f>
        <v>2776.1400000000003</v>
      </c>
      <c r="E90" s="17">
        <f t="shared" si="45"/>
        <v>2868.3599999999997</v>
      </c>
      <c r="F90" s="17">
        <f t="shared" si="45"/>
        <v>2960.58</v>
      </c>
      <c r="G90" s="17">
        <f t="shared" si="45"/>
        <v>3052.8</v>
      </c>
      <c r="H90" s="17">
        <f t="shared" si="45"/>
        <v>3146.08</v>
      </c>
      <c r="I90" s="17">
        <f t="shared" si="45"/>
        <v>3238.3</v>
      </c>
      <c r="J90" s="17">
        <f t="shared" si="45"/>
        <v>3330.52</v>
      </c>
      <c r="K90" s="17">
        <f t="shared" si="45"/>
        <v>3423.7999999999997</v>
      </c>
      <c r="L90" s="17">
        <f t="shared" si="45"/>
        <v>3516.02</v>
      </c>
      <c r="M90" s="17">
        <f t="shared" si="45"/>
        <v>3608.24</v>
      </c>
    </row>
    <row r="91" spans="1:13" x14ac:dyDescent="0.2">
      <c r="A91" s="13"/>
      <c r="B91" s="13"/>
      <c r="C91" s="16" t="s">
        <v>13</v>
      </c>
      <c r="D91" s="17">
        <f t="shared" ref="D91:M91" si="46">ROUND(D89/2756,2)</f>
        <v>26.19</v>
      </c>
      <c r="E91" s="17">
        <f t="shared" si="46"/>
        <v>27.06</v>
      </c>
      <c r="F91" s="17">
        <f t="shared" si="46"/>
        <v>27.93</v>
      </c>
      <c r="G91" s="17">
        <f t="shared" si="46"/>
        <v>28.8</v>
      </c>
      <c r="H91" s="17">
        <f t="shared" si="46"/>
        <v>29.68</v>
      </c>
      <c r="I91" s="17">
        <f t="shared" si="46"/>
        <v>30.55</v>
      </c>
      <c r="J91" s="17">
        <f t="shared" si="46"/>
        <v>31.42</v>
      </c>
      <c r="K91" s="17">
        <f t="shared" si="46"/>
        <v>32.299999999999997</v>
      </c>
      <c r="L91" s="17">
        <f t="shared" si="46"/>
        <v>33.17</v>
      </c>
      <c r="M91" s="17">
        <f t="shared" si="46"/>
        <v>34.04</v>
      </c>
    </row>
    <row r="92" spans="1:13" x14ac:dyDescent="0.2">
      <c r="A92" s="18"/>
      <c r="B92" s="19">
        <f>($G$3-53)*2</f>
        <v>38</v>
      </c>
      <c r="C92" s="16" t="s">
        <v>42</v>
      </c>
      <c r="D92" s="17">
        <f t="shared" ref="D92:M92" si="47">D93*$B$10</f>
        <v>1493.02</v>
      </c>
      <c r="E92" s="17">
        <f t="shared" si="47"/>
        <v>1496.82</v>
      </c>
      <c r="F92" s="17">
        <f t="shared" si="47"/>
        <v>1496.82</v>
      </c>
      <c r="G92" s="17">
        <f t="shared" si="47"/>
        <v>1496.82</v>
      </c>
      <c r="H92" s="17">
        <f t="shared" si="47"/>
        <v>1496.82</v>
      </c>
      <c r="I92" s="17">
        <f t="shared" si="47"/>
        <v>1496.82</v>
      </c>
      <c r="J92" s="17">
        <f t="shared" si="47"/>
        <v>1496.82</v>
      </c>
      <c r="K92" s="17">
        <f t="shared" si="47"/>
        <v>1496.82</v>
      </c>
      <c r="L92" s="17">
        <f t="shared" si="47"/>
        <v>1496.82</v>
      </c>
      <c r="M92" s="17">
        <f t="shared" si="47"/>
        <v>1496.82</v>
      </c>
    </row>
    <row r="93" spans="1:13" x14ac:dyDescent="0.2">
      <c r="A93" s="13" t="s">
        <v>26</v>
      </c>
      <c r="B93" s="13"/>
      <c r="C93" s="16" t="s">
        <v>14</v>
      </c>
      <c r="D93" s="17">
        <f t="shared" ref="D93:M93" si="48">IF(ROUND(D91*1.5,2)&lt;$G$122,ROUND(D91*1.5,2),IF($G$122&lt;D91,D91,$G$122))</f>
        <v>39.29</v>
      </c>
      <c r="E93" s="17">
        <f t="shared" si="48"/>
        <v>39.39</v>
      </c>
      <c r="F93" s="17">
        <f t="shared" si="48"/>
        <v>39.39</v>
      </c>
      <c r="G93" s="17">
        <f t="shared" si="48"/>
        <v>39.39</v>
      </c>
      <c r="H93" s="17">
        <f t="shared" si="48"/>
        <v>39.39</v>
      </c>
      <c r="I93" s="17">
        <f t="shared" si="48"/>
        <v>39.39</v>
      </c>
      <c r="J93" s="17">
        <f t="shared" si="48"/>
        <v>39.39</v>
      </c>
      <c r="K93" s="17">
        <f t="shared" si="48"/>
        <v>39.39</v>
      </c>
      <c r="L93" s="17">
        <f t="shared" si="48"/>
        <v>39.39</v>
      </c>
      <c r="M93" s="17">
        <f t="shared" si="48"/>
        <v>39.39</v>
      </c>
    </row>
    <row r="94" spans="1:13" s="62" customFormat="1" x14ac:dyDescent="0.2">
      <c r="A94" s="61"/>
      <c r="B94" s="61"/>
      <c r="C94" s="32" t="s">
        <v>46</v>
      </c>
      <c r="D94" s="17">
        <f>ROUND(D91*'Start Page'!$F$48,2)*$B$13</f>
        <v>0</v>
      </c>
      <c r="E94" s="17">
        <f>ROUND(E91*'Start Page'!$F$48,2)*$B$13</f>
        <v>0</v>
      </c>
      <c r="F94" s="17">
        <f>ROUND(F91*'Start Page'!$F$48,2)*$B$13</f>
        <v>0</v>
      </c>
      <c r="G94" s="17">
        <f>ROUND(G91*'Start Page'!$F$48,2)*$B$13</f>
        <v>0</v>
      </c>
      <c r="H94" s="17">
        <f>ROUND(H91*'Start Page'!$F$48,2)*$B$13</f>
        <v>0</v>
      </c>
      <c r="I94" s="17">
        <f>ROUND(I91*'Start Page'!$F$48,2)*$B$13</f>
        <v>0</v>
      </c>
      <c r="J94" s="17">
        <f>ROUND(J91*'Start Page'!$F$48,2)*$B$13</f>
        <v>0</v>
      </c>
      <c r="K94" s="17">
        <f>ROUND(K91*'Start Page'!$F$48,2)*$B$13</f>
        <v>0</v>
      </c>
      <c r="L94" s="17">
        <f>ROUND(L91*'Start Page'!$F$48,2)*$B$13</f>
        <v>0</v>
      </c>
      <c r="M94" s="17">
        <f>ROUND(M91*'Start Page'!$F$48,2)*$B$13</f>
        <v>0</v>
      </c>
    </row>
    <row r="95" spans="1:13" x14ac:dyDescent="0.2">
      <c r="A95" s="13"/>
      <c r="B95" s="13">
        <f>B90+B92</f>
        <v>144</v>
      </c>
      <c r="C95" s="20" t="s">
        <v>17</v>
      </c>
      <c r="D95" s="21">
        <f t="shared" ref="D95:M95" si="49">D90+D92+D94</f>
        <v>4269.16</v>
      </c>
      <c r="E95" s="21">
        <f t="shared" si="49"/>
        <v>4365.1799999999994</v>
      </c>
      <c r="F95" s="21">
        <f t="shared" si="49"/>
        <v>4457.3999999999996</v>
      </c>
      <c r="G95" s="21">
        <f t="shared" si="49"/>
        <v>4549.62</v>
      </c>
      <c r="H95" s="21">
        <f t="shared" si="49"/>
        <v>4642.8999999999996</v>
      </c>
      <c r="I95" s="21">
        <f t="shared" si="49"/>
        <v>4735.12</v>
      </c>
      <c r="J95" s="21">
        <f t="shared" si="49"/>
        <v>4827.34</v>
      </c>
      <c r="K95" s="21">
        <f t="shared" si="49"/>
        <v>4920.62</v>
      </c>
      <c r="L95" s="21">
        <f t="shared" si="49"/>
        <v>5012.84</v>
      </c>
      <c r="M95" s="21">
        <f t="shared" si="49"/>
        <v>5105.0599999999995</v>
      </c>
    </row>
    <row r="96" spans="1:13" x14ac:dyDescent="0.2">
      <c r="A96" s="13"/>
      <c r="B96" s="13"/>
      <c r="C96" s="20" t="s">
        <v>33</v>
      </c>
      <c r="D96" s="21">
        <f>D95*'Start Page'!$C$65</f>
        <v>110998.16</v>
      </c>
      <c r="E96" s="21">
        <f>E95*'Start Page'!$C$65</f>
        <v>113494.67999999998</v>
      </c>
      <c r="F96" s="21">
        <f>F95*'Start Page'!$C$65</f>
        <v>115892.4</v>
      </c>
      <c r="G96" s="21">
        <f>G95*'Start Page'!$C$65</f>
        <v>118290.12</v>
      </c>
      <c r="H96" s="21">
        <f>H95*'Start Page'!$C$65</f>
        <v>120715.4</v>
      </c>
      <c r="I96" s="21">
        <f>I95*'Start Page'!$C$65</f>
        <v>123113.12</v>
      </c>
      <c r="J96" s="21">
        <f>J95*'Start Page'!$C$65</f>
        <v>125510.84</v>
      </c>
      <c r="K96" s="21">
        <f>K95*'Start Page'!$C$65</f>
        <v>127936.12</v>
      </c>
      <c r="L96" s="21">
        <f>L95*'Start Page'!$C$65</f>
        <v>130333.84</v>
      </c>
      <c r="M96" s="21">
        <f>M95*'Start Page'!$C$65</f>
        <v>132731.56</v>
      </c>
    </row>
    <row r="97" spans="1:13" s="25" customFormat="1" x14ac:dyDescent="0.2">
      <c r="A97" s="22"/>
      <c r="B97" s="22"/>
      <c r="C97" s="23" t="s">
        <v>71</v>
      </c>
      <c r="D97" s="24">
        <f>D91*$B$13*'Start Page'!$C$65</f>
        <v>98055.360000000001</v>
      </c>
      <c r="E97" s="24">
        <f>E91*$B$13*'Start Page'!$C$65</f>
        <v>101312.64</v>
      </c>
      <c r="F97" s="24">
        <f>F91*$B$13*'Start Page'!$C$65</f>
        <v>104569.92</v>
      </c>
      <c r="G97" s="24">
        <f>G91*$B$13*'Start Page'!$C$65</f>
        <v>107827.2</v>
      </c>
      <c r="H97" s="24">
        <f>H91*$B$13*'Start Page'!$C$65</f>
        <v>111121.92</v>
      </c>
      <c r="I97" s="24">
        <f>I91*$B$13*'Start Page'!$C$65</f>
        <v>114379.2</v>
      </c>
      <c r="J97" s="24">
        <f>J91*$B$13*'Start Page'!$C$65</f>
        <v>117636.48000000001</v>
      </c>
      <c r="K97" s="24">
        <f>K91*$B$13*'Start Page'!$C$65</f>
        <v>120931.2</v>
      </c>
      <c r="L97" s="24">
        <f>L91*$B$13*'Start Page'!$C$65</f>
        <v>124188.48000000001</v>
      </c>
      <c r="M97" s="120">
        <f>M91*$B$13*'Start Page'!$C$65</f>
        <v>127445.76000000001</v>
      </c>
    </row>
    <row r="98" spans="1:13" s="25" customFormat="1" x14ac:dyDescent="0.2">
      <c r="A98" s="13"/>
      <c r="B98" s="13"/>
      <c r="C98" s="14" t="s">
        <v>30</v>
      </c>
      <c r="D98" s="15">
        <f>'GS Pay Scale'!B19</f>
        <v>85816</v>
      </c>
      <c r="E98" s="15">
        <f>'GS Pay Scale'!C19</f>
        <v>88677</v>
      </c>
      <c r="F98" s="15">
        <f>'GS Pay Scale'!D19</f>
        <v>91537</v>
      </c>
      <c r="G98" s="15">
        <f>'GS Pay Scale'!E19</f>
        <v>94398</v>
      </c>
      <c r="H98" s="15">
        <f>'GS Pay Scale'!F19</f>
        <v>97258</v>
      </c>
      <c r="I98" s="15">
        <f>'GS Pay Scale'!G19</f>
        <v>100118</v>
      </c>
      <c r="J98" s="15">
        <f>'GS Pay Scale'!H19</f>
        <v>102979</v>
      </c>
      <c r="K98" s="15">
        <f>'GS Pay Scale'!I19</f>
        <v>105839</v>
      </c>
      <c r="L98" s="15">
        <f>'GS Pay Scale'!J19</f>
        <v>108699</v>
      </c>
      <c r="M98" s="15">
        <f>'GS Pay Scale'!K19</f>
        <v>111560</v>
      </c>
    </row>
    <row r="99" spans="1:13" s="25" customFormat="1" x14ac:dyDescent="0.2">
      <c r="A99" s="13"/>
      <c r="B99" s="13">
        <v>106</v>
      </c>
      <c r="C99" s="16" t="s">
        <v>41</v>
      </c>
      <c r="D99" s="17">
        <f t="shared" ref="D99:M99" si="50">D100*106</f>
        <v>3300.84</v>
      </c>
      <c r="E99" s="17">
        <f t="shared" si="50"/>
        <v>3411.08</v>
      </c>
      <c r="F99" s="17">
        <f t="shared" si="50"/>
        <v>3520.26</v>
      </c>
      <c r="G99" s="17">
        <f t="shared" si="50"/>
        <v>3630.5</v>
      </c>
      <c r="H99" s="17">
        <f t="shared" si="50"/>
        <v>3740.74</v>
      </c>
      <c r="I99" s="17">
        <f t="shared" si="50"/>
        <v>3850.98</v>
      </c>
      <c r="J99" s="17">
        <f t="shared" si="50"/>
        <v>3961.22</v>
      </c>
      <c r="K99" s="17">
        <f t="shared" si="50"/>
        <v>4070.3999999999996</v>
      </c>
      <c r="L99" s="17">
        <f t="shared" si="50"/>
        <v>4180.6399999999994</v>
      </c>
      <c r="M99" s="17">
        <f t="shared" si="50"/>
        <v>4290.88</v>
      </c>
    </row>
    <row r="100" spans="1:13" s="25" customFormat="1" x14ac:dyDescent="0.2">
      <c r="A100" s="13"/>
      <c r="B100" s="13"/>
      <c r="C100" s="16" t="s">
        <v>13</v>
      </c>
      <c r="D100" s="17">
        <f t="shared" ref="D100:M100" si="51">ROUND(D98/2756,2)</f>
        <v>31.14</v>
      </c>
      <c r="E100" s="17">
        <f t="shared" si="51"/>
        <v>32.18</v>
      </c>
      <c r="F100" s="17">
        <f t="shared" si="51"/>
        <v>33.21</v>
      </c>
      <c r="G100" s="17">
        <f t="shared" si="51"/>
        <v>34.25</v>
      </c>
      <c r="H100" s="17">
        <f t="shared" si="51"/>
        <v>35.29</v>
      </c>
      <c r="I100" s="17">
        <f t="shared" si="51"/>
        <v>36.33</v>
      </c>
      <c r="J100" s="17">
        <f t="shared" si="51"/>
        <v>37.369999999999997</v>
      </c>
      <c r="K100" s="17">
        <f t="shared" si="51"/>
        <v>38.4</v>
      </c>
      <c r="L100" s="17">
        <f t="shared" si="51"/>
        <v>39.44</v>
      </c>
      <c r="M100" s="17">
        <f t="shared" si="51"/>
        <v>40.479999999999997</v>
      </c>
    </row>
    <row r="101" spans="1:13" s="25" customFormat="1" x14ac:dyDescent="0.2">
      <c r="A101" s="18"/>
      <c r="B101" s="19">
        <f>($G$3-53)*2</f>
        <v>38</v>
      </c>
      <c r="C101" s="16" t="s">
        <v>42</v>
      </c>
      <c r="D101" s="17">
        <f t="shared" ref="D101:M101" si="52">D102*$B$10</f>
        <v>1496.82</v>
      </c>
      <c r="E101" s="17">
        <f t="shared" si="52"/>
        <v>1496.82</v>
      </c>
      <c r="F101" s="17">
        <f t="shared" si="52"/>
        <v>1496.82</v>
      </c>
      <c r="G101" s="17">
        <f t="shared" si="52"/>
        <v>1496.82</v>
      </c>
      <c r="H101" s="17">
        <f t="shared" si="52"/>
        <v>1496.82</v>
      </c>
      <c r="I101" s="17">
        <f t="shared" si="52"/>
        <v>1496.82</v>
      </c>
      <c r="J101" s="17">
        <f t="shared" si="52"/>
        <v>1496.82</v>
      </c>
      <c r="K101" s="17">
        <f t="shared" si="52"/>
        <v>1496.82</v>
      </c>
      <c r="L101" s="17">
        <f t="shared" si="52"/>
        <v>1498.7199999999998</v>
      </c>
      <c r="M101" s="17">
        <f t="shared" si="52"/>
        <v>1538.2399999999998</v>
      </c>
    </row>
    <row r="102" spans="1:13" s="25" customFormat="1" x14ac:dyDescent="0.2">
      <c r="A102" s="13" t="s">
        <v>31</v>
      </c>
      <c r="B102" s="13"/>
      <c r="C102" s="16" t="s">
        <v>14</v>
      </c>
      <c r="D102" s="17">
        <f t="shared" ref="D102:M102" si="53">IF(ROUND(D100*1.5,2)&lt;$G$122,ROUND(D100*1.5,2),IF($G$122&lt;D100,D100,$G$122))</f>
        <v>39.39</v>
      </c>
      <c r="E102" s="17">
        <f t="shared" si="53"/>
        <v>39.39</v>
      </c>
      <c r="F102" s="17">
        <f t="shared" si="53"/>
        <v>39.39</v>
      </c>
      <c r="G102" s="17">
        <f t="shared" si="53"/>
        <v>39.39</v>
      </c>
      <c r="H102" s="17">
        <f t="shared" si="53"/>
        <v>39.39</v>
      </c>
      <c r="I102" s="17">
        <f t="shared" si="53"/>
        <v>39.39</v>
      </c>
      <c r="J102" s="17">
        <f t="shared" si="53"/>
        <v>39.39</v>
      </c>
      <c r="K102" s="17">
        <f t="shared" si="53"/>
        <v>39.39</v>
      </c>
      <c r="L102" s="17">
        <f t="shared" si="53"/>
        <v>39.44</v>
      </c>
      <c r="M102" s="17">
        <f t="shared" si="53"/>
        <v>40.479999999999997</v>
      </c>
    </row>
    <row r="103" spans="1:13" s="25" customFormat="1" x14ac:dyDescent="0.2">
      <c r="A103" s="61"/>
      <c r="B103" s="61"/>
      <c r="C103" s="32" t="s">
        <v>46</v>
      </c>
      <c r="D103" s="17">
        <f>ROUND(D100*'Start Page'!$F$48,2)*$B$13</f>
        <v>0</v>
      </c>
      <c r="E103" s="17">
        <f>ROUND(E100*'Start Page'!$F$48,2)*$B$13</f>
        <v>0</v>
      </c>
      <c r="F103" s="17">
        <f>ROUND(F100*'Start Page'!$F$48,2)*$B$13</f>
        <v>0</v>
      </c>
      <c r="G103" s="17">
        <f>ROUND(G100*'Start Page'!$F$48,2)*$B$13</f>
        <v>0</v>
      </c>
      <c r="H103" s="17">
        <f>ROUND(H100*'Start Page'!$F$48,2)*$B$13</f>
        <v>0</v>
      </c>
      <c r="I103" s="17">
        <f>ROUND(I100*'Start Page'!$F$48,2)*$B$13</f>
        <v>0</v>
      </c>
      <c r="J103" s="17">
        <f>ROUND(J100*'Start Page'!$F$48,2)*$B$13</f>
        <v>0</v>
      </c>
      <c r="K103" s="17">
        <f>ROUND(K100*'Start Page'!$F$48,2)*$B$13</f>
        <v>0</v>
      </c>
      <c r="L103" s="17">
        <f>ROUND(L100*'Start Page'!$F$48,2)*$B$13</f>
        <v>0</v>
      </c>
      <c r="M103" s="17">
        <f>ROUND(M100*'Start Page'!$F$48,2)*$B$13</f>
        <v>0</v>
      </c>
    </row>
    <row r="104" spans="1:13" s="25" customFormat="1" x14ac:dyDescent="0.2">
      <c r="A104" s="13"/>
      <c r="B104" s="13">
        <f>B99+B101</f>
        <v>144</v>
      </c>
      <c r="C104" s="20" t="s">
        <v>17</v>
      </c>
      <c r="D104" s="21">
        <f t="shared" ref="D104:M104" si="54">D99+D101+D103</f>
        <v>4797.66</v>
      </c>
      <c r="E104" s="21">
        <f t="shared" si="54"/>
        <v>4907.8999999999996</v>
      </c>
      <c r="F104" s="21">
        <f t="shared" si="54"/>
        <v>5017.08</v>
      </c>
      <c r="G104" s="21">
        <f t="shared" si="54"/>
        <v>5127.32</v>
      </c>
      <c r="H104" s="21">
        <f t="shared" si="54"/>
        <v>5237.5599999999995</v>
      </c>
      <c r="I104" s="21">
        <f t="shared" si="54"/>
        <v>5347.8</v>
      </c>
      <c r="J104" s="21">
        <f t="shared" si="54"/>
        <v>5458.04</v>
      </c>
      <c r="K104" s="21">
        <f t="shared" si="54"/>
        <v>5567.2199999999993</v>
      </c>
      <c r="L104" s="21">
        <f t="shared" si="54"/>
        <v>5679.3599999999988</v>
      </c>
      <c r="M104" s="21">
        <f t="shared" si="54"/>
        <v>5829.12</v>
      </c>
    </row>
    <row r="105" spans="1:13" s="25" customFormat="1" x14ac:dyDescent="0.2">
      <c r="A105" s="13"/>
      <c r="B105" s="13"/>
      <c r="C105" s="20" t="s">
        <v>33</v>
      </c>
      <c r="D105" s="21">
        <f>D104*'Start Page'!$C$65</f>
        <v>124739.16</v>
      </c>
      <c r="E105" s="21">
        <f>E104*'Start Page'!$C$65</f>
        <v>127605.4</v>
      </c>
      <c r="F105" s="21">
        <f>F104*'Start Page'!$C$65</f>
        <v>130444.08</v>
      </c>
      <c r="G105" s="21">
        <f>G104*'Start Page'!$C$65</f>
        <v>133310.32</v>
      </c>
      <c r="H105" s="21">
        <f>H104*'Start Page'!$C$65</f>
        <v>136176.56</v>
      </c>
      <c r="I105" s="21">
        <f>I104*'Start Page'!$C$65</f>
        <v>139042.80000000002</v>
      </c>
      <c r="J105" s="21">
        <f>J104*'Start Page'!$C$65</f>
        <v>141909.04</v>
      </c>
      <c r="K105" s="21">
        <f>K104*'Start Page'!$C$65</f>
        <v>144747.71999999997</v>
      </c>
      <c r="L105" s="21">
        <f>L104*'Start Page'!$C$65</f>
        <v>147663.35999999996</v>
      </c>
      <c r="M105" s="21">
        <f>M104*'Start Page'!$C$65</f>
        <v>151557.12</v>
      </c>
    </row>
    <row r="106" spans="1:13" s="25" customFormat="1" x14ac:dyDescent="0.2">
      <c r="A106" s="22"/>
      <c r="B106" s="22"/>
      <c r="C106" s="23" t="s">
        <v>71</v>
      </c>
      <c r="D106" s="24">
        <f>D100*$B$13*'Start Page'!$C$65</f>
        <v>116588.16</v>
      </c>
      <c r="E106" s="24">
        <f>E100*$B$13*'Start Page'!$C$65</f>
        <v>120481.92</v>
      </c>
      <c r="F106" s="24">
        <f>F100*$B$13*'Start Page'!$C$65</f>
        <v>124338.23999999999</v>
      </c>
      <c r="G106" s="24">
        <f>G100*$B$13*'Start Page'!$C$65</f>
        <v>128232</v>
      </c>
      <c r="H106" s="24">
        <f>H100*$B$13*'Start Page'!$C$65</f>
        <v>132125.76000000001</v>
      </c>
      <c r="I106" s="24">
        <f>I100*$B$13*'Start Page'!$C$65</f>
        <v>136019.51999999999</v>
      </c>
      <c r="J106" s="24">
        <f>J100*$B$13*'Start Page'!$C$65</f>
        <v>139913.28</v>
      </c>
      <c r="K106" s="24">
        <f>K100*$B$13*'Start Page'!$C$65</f>
        <v>143769.59999999998</v>
      </c>
      <c r="L106" s="24">
        <f>L100*$B$13*'Start Page'!$C$65</f>
        <v>147663.35999999999</v>
      </c>
      <c r="M106" s="120">
        <f>M100*$B$13*'Start Page'!$C$65</f>
        <v>151557.12</v>
      </c>
    </row>
    <row r="107" spans="1:13" x14ac:dyDescent="0.2">
      <c r="A107" s="13"/>
      <c r="B107" s="13"/>
      <c r="C107" s="14" t="s">
        <v>30</v>
      </c>
      <c r="D107" s="15">
        <f>'GS Pay Scale'!B20</f>
        <v>101409</v>
      </c>
      <c r="E107" s="15">
        <f>'GS Pay Scale'!C20</f>
        <v>104790</v>
      </c>
      <c r="F107" s="15">
        <f>'GS Pay Scale'!D20</f>
        <v>108170</v>
      </c>
      <c r="G107" s="15">
        <f>'GS Pay Scale'!E20</f>
        <v>111551</v>
      </c>
      <c r="H107" s="15">
        <f>'GS Pay Scale'!F20</f>
        <v>114931</v>
      </c>
      <c r="I107" s="15">
        <f>'GS Pay Scale'!G20</f>
        <v>118312</v>
      </c>
      <c r="J107" s="15">
        <f>'GS Pay Scale'!H20</f>
        <v>121692</v>
      </c>
      <c r="K107" s="15">
        <f>'GS Pay Scale'!I20</f>
        <v>125073</v>
      </c>
      <c r="L107" s="15">
        <f>'GS Pay Scale'!J20</f>
        <v>128453</v>
      </c>
      <c r="M107" s="15">
        <f>'GS Pay Scale'!K20</f>
        <v>131833</v>
      </c>
    </row>
    <row r="108" spans="1:13" x14ac:dyDescent="0.2">
      <c r="A108" s="13"/>
      <c r="B108" s="13">
        <v>106</v>
      </c>
      <c r="C108" s="16" t="s">
        <v>41</v>
      </c>
      <c r="D108" s="17">
        <f t="shared" ref="D108:M108" si="55">D109*106</f>
        <v>3900.7999999999997</v>
      </c>
      <c r="E108" s="17">
        <f t="shared" si="55"/>
        <v>4030.1200000000003</v>
      </c>
      <c r="F108" s="17">
        <f t="shared" si="55"/>
        <v>4160.5</v>
      </c>
      <c r="G108" s="17">
        <f t="shared" si="55"/>
        <v>4290.88</v>
      </c>
      <c r="H108" s="17">
        <f t="shared" si="55"/>
        <v>4420.2000000000007</v>
      </c>
      <c r="I108" s="17">
        <f t="shared" si="55"/>
        <v>4550.58</v>
      </c>
      <c r="J108" s="17">
        <f t="shared" si="55"/>
        <v>4680.96</v>
      </c>
      <c r="K108" s="17">
        <f t="shared" si="55"/>
        <v>4810.2800000000007</v>
      </c>
      <c r="L108" s="17">
        <f t="shared" si="55"/>
        <v>4940.66</v>
      </c>
      <c r="M108" s="17">
        <f t="shared" si="55"/>
        <v>5069.9799999999996</v>
      </c>
    </row>
    <row r="109" spans="1:13" x14ac:dyDescent="0.2">
      <c r="A109" s="13"/>
      <c r="B109" s="13"/>
      <c r="C109" s="16" t="s">
        <v>13</v>
      </c>
      <c r="D109" s="17">
        <f t="shared" ref="D109:M109" si="56">ROUND(D107/2756,2)</f>
        <v>36.799999999999997</v>
      </c>
      <c r="E109" s="17">
        <f t="shared" si="56"/>
        <v>38.020000000000003</v>
      </c>
      <c r="F109" s="17">
        <f t="shared" si="56"/>
        <v>39.25</v>
      </c>
      <c r="G109" s="17">
        <f t="shared" si="56"/>
        <v>40.479999999999997</v>
      </c>
      <c r="H109" s="17">
        <f t="shared" si="56"/>
        <v>41.7</v>
      </c>
      <c r="I109" s="17">
        <f t="shared" si="56"/>
        <v>42.93</v>
      </c>
      <c r="J109" s="17">
        <f t="shared" si="56"/>
        <v>44.16</v>
      </c>
      <c r="K109" s="17">
        <f t="shared" si="56"/>
        <v>45.38</v>
      </c>
      <c r="L109" s="17">
        <f t="shared" si="56"/>
        <v>46.61</v>
      </c>
      <c r="M109" s="17">
        <f t="shared" si="56"/>
        <v>47.83</v>
      </c>
    </row>
    <row r="110" spans="1:13" x14ac:dyDescent="0.2">
      <c r="A110" s="18"/>
      <c r="B110" s="19">
        <f>($G$3-53)*2</f>
        <v>38</v>
      </c>
      <c r="C110" s="16" t="s">
        <v>42</v>
      </c>
      <c r="D110" s="17">
        <f t="shared" ref="D110:M110" si="57">D111*$B$10</f>
        <v>1496.82</v>
      </c>
      <c r="E110" s="17">
        <f t="shared" si="57"/>
        <v>1496.82</v>
      </c>
      <c r="F110" s="17">
        <f t="shared" si="57"/>
        <v>1496.82</v>
      </c>
      <c r="G110" s="17">
        <f t="shared" si="57"/>
        <v>1538.2399999999998</v>
      </c>
      <c r="H110" s="17">
        <f t="shared" si="57"/>
        <v>1584.6000000000001</v>
      </c>
      <c r="I110" s="17">
        <f t="shared" si="57"/>
        <v>1631.34</v>
      </c>
      <c r="J110" s="17">
        <f t="shared" si="57"/>
        <v>1678.08</v>
      </c>
      <c r="K110" s="17">
        <f t="shared" si="57"/>
        <v>1724.44</v>
      </c>
      <c r="L110" s="17">
        <f t="shared" si="57"/>
        <v>1771.18</v>
      </c>
      <c r="M110" s="17">
        <f t="shared" si="57"/>
        <v>1817.54</v>
      </c>
    </row>
    <row r="111" spans="1:13" x14ac:dyDescent="0.2">
      <c r="A111" s="13" t="s">
        <v>120</v>
      </c>
      <c r="B111" s="13"/>
      <c r="C111" s="16" t="s">
        <v>14</v>
      </c>
      <c r="D111" s="17">
        <f t="shared" ref="D111:M111" si="58">IF(ROUND(D109*1.5,2)&lt;$G$122,ROUND(D109*1.5,2),IF($G$122&lt;D109,D109,$G$122))</f>
        <v>39.39</v>
      </c>
      <c r="E111" s="17">
        <f t="shared" si="58"/>
        <v>39.39</v>
      </c>
      <c r="F111" s="17">
        <f t="shared" si="58"/>
        <v>39.39</v>
      </c>
      <c r="G111" s="17">
        <f t="shared" si="58"/>
        <v>40.479999999999997</v>
      </c>
      <c r="H111" s="17">
        <f t="shared" si="58"/>
        <v>41.7</v>
      </c>
      <c r="I111" s="17">
        <f t="shared" si="58"/>
        <v>42.93</v>
      </c>
      <c r="J111" s="17">
        <f t="shared" si="58"/>
        <v>44.16</v>
      </c>
      <c r="K111" s="17">
        <f t="shared" si="58"/>
        <v>45.38</v>
      </c>
      <c r="L111" s="17">
        <f t="shared" si="58"/>
        <v>46.61</v>
      </c>
      <c r="M111" s="17">
        <f t="shared" si="58"/>
        <v>47.83</v>
      </c>
    </row>
    <row r="112" spans="1:13" s="62" customFormat="1" x14ac:dyDescent="0.2">
      <c r="A112" s="61"/>
      <c r="B112" s="61"/>
      <c r="C112" s="32" t="s">
        <v>46</v>
      </c>
      <c r="D112" s="17">
        <f>ROUND(D109*'Start Page'!$F$48,2)*$B$13</f>
        <v>0</v>
      </c>
      <c r="E112" s="17">
        <f>ROUND(E109*'Start Page'!$F$48,2)*$B$13</f>
        <v>0</v>
      </c>
      <c r="F112" s="17">
        <f>ROUND(F109*'Start Page'!$F$48,2)*$B$13</f>
        <v>0</v>
      </c>
      <c r="G112" s="17">
        <f>ROUND(G109*'Start Page'!$F$48,2)*$B$13</f>
        <v>0</v>
      </c>
      <c r="H112" s="17">
        <f>ROUND(H109*'Start Page'!$F$48,2)*$B$13</f>
        <v>0</v>
      </c>
      <c r="I112" s="17">
        <f>ROUND(I109*'Start Page'!$F$48,2)*$B$13</f>
        <v>0</v>
      </c>
      <c r="J112" s="17">
        <f>ROUND(J109*'Start Page'!$F$48,2)*$B$13</f>
        <v>0</v>
      </c>
      <c r="K112" s="17">
        <f>ROUND(K109*'Start Page'!$F$48,2)*$B$13</f>
        <v>0</v>
      </c>
      <c r="L112" s="17">
        <f>ROUND(L109*'Start Page'!$F$48,2)*$B$13</f>
        <v>0</v>
      </c>
      <c r="M112" s="17">
        <f>ROUND(M109*'Start Page'!$F$48,2)*$B$13</f>
        <v>0</v>
      </c>
    </row>
    <row r="113" spans="1:13" x14ac:dyDescent="0.2">
      <c r="A113" s="13"/>
      <c r="B113" s="13">
        <f>B108+B110</f>
        <v>144</v>
      </c>
      <c r="C113" s="20" t="s">
        <v>17</v>
      </c>
      <c r="D113" s="21">
        <f t="shared" ref="D113:M113" si="59">D108+D110+D112</f>
        <v>5397.62</v>
      </c>
      <c r="E113" s="21">
        <f t="shared" si="59"/>
        <v>5526.9400000000005</v>
      </c>
      <c r="F113" s="21">
        <f t="shared" si="59"/>
        <v>5657.32</v>
      </c>
      <c r="G113" s="21">
        <f t="shared" si="59"/>
        <v>5829.12</v>
      </c>
      <c r="H113" s="21">
        <f t="shared" si="59"/>
        <v>6004.8000000000011</v>
      </c>
      <c r="I113" s="21">
        <f t="shared" si="59"/>
        <v>6181.92</v>
      </c>
      <c r="J113" s="21">
        <f t="shared" si="59"/>
        <v>6359.04</v>
      </c>
      <c r="K113" s="21">
        <f t="shared" si="59"/>
        <v>6534.7200000000012</v>
      </c>
      <c r="L113" s="21">
        <f t="shared" si="59"/>
        <v>6711.84</v>
      </c>
      <c r="M113" s="21">
        <f t="shared" si="59"/>
        <v>6887.5199999999995</v>
      </c>
    </row>
    <row r="114" spans="1:13" x14ac:dyDescent="0.2">
      <c r="A114" s="13"/>
      <c r="B114" s="13"/>
      <c r="C114" s="20" t="s">
        <v>33</v>
      </c>
      <c r="D114" s="21">
        <f>D113*'Start Page'!$C$65</f>
        <v>140338.12</v>
      </c>
      <c r="E114" s="21">
        <f>E113*'Start Page'!$C$65</f>
        <v>143700.44</v>
      </c>
      <c r="F114" s="21">
        <f>F113*'Start Page'!$C$65</f>
        <v>147090.32</v>
      </c>
      <c r="G114" s="21">
        <f>G113*'Start Page'!$C$65</f>
        <v>151557.12</v>
      </c>
      <c r="H114" s="21">
        <f>H113*'Start Page'!$C$65</f>
        <v>156124.80000000002</v>
      </c>
      <c r="I114" s="21">
        <f>I113*'Start Page'!$C$65</f>
        <v>160729.92000000001</v>
      </c>
      <c r="J114" s="21">
        <f>J113*'Start Page'!$C$65</f>
        <v>165335.04000000001</v>
      </c>
      <c r="K114" s="21">
        <f>K113*'Start Page'!$C$65</f>
        <v>169902.72000000003</v>
      </c>
      <c r="L114" s="21">
        <f>L113*'Start Page'!$C$65</f>
        <v>174507.84</v>
      </c>
      <c r="M114" s="21">
        <f>M113*'Start Page'!$C$65</f>
        <v>179075.52</v>
      </c>
    </row>
    <row r="115" spans="1:13" s="25" customFormat="1" x14ac:dyDescent="0.2">
      <c r="A115" s="22"/>
      <c r="B115" s="22"/>
      <c r="C115" s="23" t="s">
        <v>71</v>
      </c>
      <c r="D115" s="24">
        <f>D109*$B$13*'Start Page'!$C$65</f>
        <v>137779.19999999998</v>
      </c>
      <c r="E115" s="24">
        <f>E109*$B$13*'Start Page'!$C$65</f>
        <v>142346.88</v>
      </c>
      <c r="F115" s="24">
        <f>F109*$B$13*'Start Page'!$C$65</f>
        <v>146952</v>
      </c>
      <c r="G115" s="24">
        <f>G109*$B$13*'Start Page'!$C$65</f>
        <v>151557.12</v>
      </c>
      <c r="H115" s="24">
        <f>H109*$B$13*'Start Page'!$C$65</f>
        <v>156124.80000000002</v>
      </c>
      <c r="I115" s="24">
        <f>I109*$B$13*'Start Page'!$C$65</f>
        <v>160729.92000000001</v>
      </c>
      <c r="J115" s="24">
        <f>J109*$B$13*'Start Page'!$C$65</f>
        <v>165335.03999999998</v>
      </c>
      <c r="K115" s="24">
        <f>K109*$B$13*'Start Page'!$C$65</f>
        <v>169902.72</v>
      </c>
      <c r="L115" s="24">
        <f>L109*$B$13*'Start Page'!$C$65</f>
        <v>174507.84</v>
      </c>
      <c r="M115" s="120">
        <f>M109*$B$13*'Start Page'!$C$65</f>
        <v>179075.52</v>
      </c>
    </row>
    <row r="116" spans="1:13" x14ac:dyDescent="0.2">
      <c r="A116" s="11" t="s">
        <v>121</v>
      </c>
      <c r="B116" s="28"/>
    </row>
    <row r="117" spans="1:13" x14ac:dyDescent="0.2">
      <c r="A117" s="11" t="s">
        <v>72</v>
      </c>
      <c r="B117" s="28"/>
    </row>
    <row r="118" spans="1:13" x14ac:dyDescent="0.2">
      <c r="A118" s="28"/>
      <c r="B118" s="28"/>
    </row>
    <row r="119" spans="1:13" x14ac:dyDescent="0.2">
      <c r="A119" s="28" t="s">
        <v>73</v>
      </c>
      <c r="B119" s="28"/>
    </row>
    <row r="120" spans="1:13" x14ac:dyDescent="0.2">
      <c r="A120" s="28" t="s">
        <v>74</v>
      </c>
      <c r="B120" s="28"/>
      <c r="G120" s="30"/>
    </row>
    <row r="121" spans="1:13" x14ac:dyDescent="0.2">
      <c r="A121" s="28" t="s">
        <v>19</v>
      </c>
      <c r="B121" s="29"/>
    </row>
    <row r="122" spans="1:13" x14ac:dyDescent="0.2">
      <c r="A122" s="28" t="s">
        <v>32</v>
      </c>
      <c r="B122" s="28"/>
      <c r="G122" s="30">
        <f>ROUND(ROUND(D71/2087,2)*1.5,2)</f>
        <v>39.39</v>
      </c>
      <c r="H122" s="11"/>
    </row>
    <row r="123" spans="1:13" x14ac:dyDescent="0.2">
      <c r="A123" s="29"/>
      <c r="B123" s="29"/>
    </row>
    <row r="124" spans="1:13" x14ac:dyDescent="0.2">
      <c r="A124" s="28" t="s">
        <v>36</v>
      </c>
      <c r="B124" s="28"/>
    </row>
  </sheetData>
  <sheetProtection password="CCE4" sheet="1" objects="1" scenarios="1"/>
  <mergeCells count="2">
    <mergeCell ref="F4:I4"/>
    <mergeCell ref="G5:H5"/>
  </mergeCells>
  <phoneticPr fontId="0" type="noConversion"/>
  <hyperlinks>
    <hyperlink ref="G5:H5" location="'Start Page'!C19" display="Return to Start Page"/>
  </hyperlinks>
  <printOptions horizontalCentered="1" verticalCentered="1"/>
  <pageMargins left="0.5" right="0.5" top="0.5" bottom="0.5" header="0.5" footer="0.5"/>
  <pageSetup scale="68" fitToHeight="2" orientation="landscape" horizontalDpi="4294967294" verticalDpi="300" r:id="rId1"/>
  <headerFooter alignWithMargins="0"/>
  <rowBreaks count="1" manualBreakCount="1">
    <brk id="60" max="16383" man="1"/>
  </rowBreaks>
  <legacyDrawing r:id="rId2"/>
  <picture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51"/>
  <sheetViews>
    <sheetView showGridLines="0" zoomScaleNormal="100" workbookViewId="0">
      <pane xSplit="3" ySplit="6" topLeftCell="D7" activePane="bottomRight" state="frozen"/>
      <selection pane="topRight" activeCell="D1" sqref="D1"/>
      <selection pane="bottomLeft" activeCell="A7" sqref="A7"/>
      <selection pane="bottomRight" activeCell="G5" sqref="G5:H5"/>
    </sheetView>
  </sheetViews>
  <sheetFormatPr defaultRowHeight="12.75" x14ac:dyDescent="0.2"/>
  <cols>
    <col min="1" max="1" width="7.140625" style="37" customWidth="1"/>
    <col min="2" max="2" width="7.140625" style="31" customWidth="1"/>
    <col min="3" max="3" width="13.5703125" style="31" customWidth="1"/>
    <col min="4" max="13" width="12.7109375" style="31" customWidth="1"/>
    <col min="14" max="16384" width="9.140625" style="31"/>
  </cols>
  <sheetData>
    <row r="1" spans="1:13" s="7" customFormat="1" ht="25.5" customHeight="1" x14ac:dyDescent="0.4">
      <c r="E1" s="8">
        <f>'Start Page'!$C$63</f>
        <v>2017</v>
      </c>
      <c r="F1" s="9" t="s">
        <v>35</v>
      </c>
    </row>
    <row r="2" spans="1:13" s="7" customFormat="1" ht="25.5" customHeight="1" x14ac:dyDescent="0.4">
      <c r="E2" s="8"/>
      <c r="G2" s="83" t="s">
        <v>69</v>
      </c>
      <c r="H2" s="10" t="str">
        <f>'Start Page'!C46</f>
        <v>Rest of the United States</v>
      </c>
    </row>
    <row r="3" spans="1:13" s="7" customFormat="1" ht="25.5" customHeight="1" x14ac:dyDescent="0.4">
      <c r="G3" s="8">
        <f>'Start Page'!C33</f>
        <v>60</v>
      </c>
      <c r="H3" s="9" t="s">
        <v>40</v>
      </c>
    </row>
    <row r="4" spans="1:13" s="7" customFormat="1" ht="12.75" customHeight="1" x14ac:dyDescent="0.2">
      <c r="F4" s="194" t="str">
        <f>IF(E1='GS Pay Calculator'!B2,"","Warning! These pay figures are now estimates only!")</f>
        <v/>
      </c>
      <c r="G4" s="194"/>
      <c r="H4" s="194"/>
      <c r="I4" s="194"/>
    </row>
    <row r="5" spans="1:13" s="7" customFormat="1" ht="12.75" customHeight="1" x14ac:dyDescent="0.2">
      <c r="G5" s="192" t="s">
        <v>95</v>
      </c>
      <c r="H5" s="192"/>
    </row>
    <row r="6" spans="1:13" x14ac:dyDescent="0.2">
      <c r="A6" s="12" t="s">
        <v>0</v>
      </c>
      <c r="B6" s="12" t="s">
        <v>43</v>
      </c>
      <c r="C6" s="12" t="s">
        <v>1</v>
      </c>
      <c r="D6" s="12" t="s">
        <v>2</v>
      </c>
      <c r="E6" s="12" t="s">
        <v>3</v>
      </c>
      <c r="F6" s="12" t="s">
        <v>4</v>
      </c>
      <c r="G6" s="12" t="s">
        <v>5</v>
      </c>
      <c r="H6" s="12" t="s">
        <v>6</v>
      </c>
      <c r="I6" s="12" t="s">
        <v>7</v>
      </c>
      <c r="J6" s="12" t="s">
        <v>8</v>
      </c>
      <c r="K6" s="12" t="s">
        <v>9</v>
      </c>
      <c r="L6" s="12" t="s">
        <v>10</v>
      </c>
      <c r="M6" s="12" t="s">
        <v>11</v>
      </c>
    </row>
    <row r="7" spans="1:13" x14ac:dyDescent="0.2">
      <c r="A7" s="13"/>
      <c r="B7" s="13"/>
      <c r="C7" s="16" t="s">
        <v>30</v>
      </c>
      <c r="D7" s="118">
        <f>'GS Pay Scale'!B9</f>
        <v>26150</v>
      </c>
      <c r="E7" s="118">
        <f>'GS Pay Scale'!C9</f>
        <v>27022</v>
      </c>
      <c r="F7" s="118">
        <f>'GS Pay Scale'!D9</f>
        <v>27894</v>
      </c>
      <c r="G7" s="118">
        <f>'GS Pay Scale'!E9</f>
        <v>28766</v>
      </c>
      <c r="H7" s="118">
        <f>'GS Pay Scale'!F9</f>
        <v>29638</v>
      </c>
      <c r="I7" s="118">
        <f>'GS Pay Scale'!G9</f>
        <v>30510</v>
      </c>
      <c r="J7" s="118">
        <f>'GS Pay Scale'!H9</f>
        <v>31383</v>
      </c>
      <c r="K7" s="118">
        <f>'GS Pay Scale'!I9</f>
        <v>32255</v>
      </c>
      <c r="L7" s="118">
        <f>'GS Pay Scale'!J9</f>
        <v>33127</v>
      </c>
      <c r="M7" s="118">
        <f>'GS Pay Scale'!K9</f>
        <v>33999</v>
      </c>
    </row>
    <row r="8" spans="1:13" x14ac:dyDescent="0.2">
      <c r="A8" s="13"/>
      <c r="B8" s="13">
        <v>80</v>
      </c>
      <c r="C8" s="32" t="s">
        <v>44</v>
      </c>
      <c r="D8" s="118">
        <f>D9*80</f>
        <v>1002.4</v>
      </c>
      <c r="E8" s="118">
        <f t="shared" ref="E8:M8" si="0">E9*80</f>
        <v>1036</v>
      </c>
      <c r="F8" s="118">
        <f t="shared" si="0"/>
        <v>1069.5999999999999</v>
      </c>
      <c r="G8" s="118">
        <f t="shared" si="0"/>
        <v>1102.3999999999999</v>
      </c>
      <c r="H8" s="118">
        <f t="shared" si="0"/>
        <v>1136</v>
      </c>
      <c r="I8" s="118">
        <f t="shared" si="0"/>
        <v>1169.5999999999999</v>
      </c>
      <c r="J8" s="118">
        <f t="shared" si="0"/>
        <v>1203.1999999999998</v>
      </c>
      <c r="K8" s="118">
        <f t="shared" si="0"/>
        <v>1236.8000000000002</v>
      </c>
      <c r="L8" s="118">
        <f t="shared" si="0"/>
        <v>1269.5999999999999</v>
      </c>
      <c r="M8" s="118">
        <f t="shared" si="0"/>
        <v>1303.1999999999998</v>
      </c>
    </row>
    <row r="9" spans="1:13" x14ac:dyDescent="0.2">
      <c r="A9" s="13"/>
      <c r="B9" s="13"/>
      <c r="C9" s="32" t="s">
        <v>20</v>
      </c>
      <c r="D9" s="33">
        <f>ROUND(D7/2087,2)</f>
        <v>12.53</v>
      </c>
      <c r="E9" s="33">
        <f t="shared" ref="E9:M9" si="1">ROUND(E7/2087,2)</f>
        <v>12.95</v>
      </c>
      <c r="F9" s="33">
        <f t="shared" si="1"/>
        <v>13.37</v>
      </c>
      <c r="G9" s="33">
        <f t="shared" si="1"/>
        <v>13.78</v>
      </c>
      <c r="H9" s="33">
        <f t="shared" si="1"/>
        <v>14.2</v>
      </c>
      <c r="I9" s="33">
        <f t="shared" si="1"/>
        <v>14.62</v>
      </c>
      <c r="J9" s="33">
        <f t="shared" si="1"/>
        <v>15.04</v>
      </c>
      <c r="K9" s="33">
        <f t="shared" si="1"/>
        <v>15.46</v>
      </c>
      <c r="L9" s="33">
        <f t="shared" si="1"/>
        <v>15.87</v>
      </c>
      <c r="M9" s="33">
        <f t="shared" si="1"/>
        <v>16.29</v>
      </c>
    </row>
    <row r="10" spans="1:13" x14ac:dyDescent="0.2">
      <c r="A10" s="13"/>
      <c r="B10" s="13">
        <v>26</v>
      </c>
      <c r="C10" s="16" t="s">
        <v>41</v>
      </c>
      <c r="D10" s="33">
        <f>D11*26</f>
        <v>246.74</v>
      </c>
      <c r="E10" s="33">
        <f t="shared" ref="E10:M10" si="2">E11*26</f>
        <v>254.8</v>
      </c>
      <c r="F10" s="33">
        <f t="shared" si="2"/>
        <v>263.12</v>
      </c>
      <c r="G10" s="33">
        <f t="shared" si="2"/>
        <v>271.44</v>
      </c>
      <c r="H10" s="33">
        <f t="shared" si="2"/>
        <v>279.5</v>
      </c>
      <c r="I10" s="33">
        <f t="shared" si="2"/>
        <v>287.82</v>
      </c>
      <c r="J10" s="33">
        <f t="shared" si="2"/>
        <v>296.14</v>
      </c>
      <c r="K10" s="33">
        <f t="shared" si="2"/>
        <v>304.2</v>
      </c>
      <c r="L10" s="33">
        <f t="shared" si="2"/>
        <v>312.52</v>
      </c>
      <c r="M10" s="33">
        <f t="shared" si="2"/>
        <v>320.83999999999997</v>
      </c>
    </row>
    <row r="11" spans="1:13" x14ac:dyDescent="0.2">
      <c r="A11" s="13"/>
      <c r="B11" s="13"/>
      <c r="C11" s="16" t="s">
        <v>13</v>
      </c>
      <c r="D11" s="33">
        <f>ROUND(D7/2756,2)</f>
        <v>9.49</v>
      </c>
      <c r="E11" s="33">
        <f t="shared" ref="E11:M11" si="3">ROUND(E7/2756,2)</f>
        <v>9.8000000000000007</v>
      </c>
      <c r="F11" s="33">
        <f t="shared" si="3"/>
        <v>10.119999999999999</v>
      </c>
      <c r="G11" s="33">
        <f t="shared" si="3"/>
        <v>10.44</v>
      </c>
      <c r="H11" s="33">
        <f t="shared" si="3"/>
        <v>10.75</v>
      </c>
      <c r="I11" s="33">
        <f t="shared" si="3"/>
        <v>11.07</v>
      </c>
      <c r="J11" s="33">
        <f t="shared" si="3"/>
        <v>11.39</v>
      </c>
      <c r="K11" s="33">
        <f t="shared" si="3"/>
        <v>11.7</v>
      </c>
      <c r="L11" s="33">
        <f t="shared" si="3"/>
        <v>12.02</v>
      </c>
      <c r="M11" s="33">
        <f t="shared" si="3"/>
        <v>12.34</v>
      </c>
    </row>
    <row r="12" spans="1:13" x14ac:dyDescent="0.2">
      <c r="A12" s="13" t="s">
        <v>22</v>
      </c>
      <c r="B12" s="19">
        <f>($G$3-53)*2</f>
        <v>14</v>
      </c>
      <c r="C12" s="16" t="s">
        <v>42</v>
      </c>
      <c r="D12" s="33">
        <f>D13*$B$12</f>
        <v>199.36</v>
      </c>
      <c r="E12" s="33">
        <f t="shared" ref="E12:M12" si="4">E13*$B$12</f>
        <v>205.79999999999998</v>
      </c>
      <c r="F12" s="33">
        <f t="shared" si="4"/>
        <v>212.51999999999998</v>
      </c>
      <c r="G12" s="33">
        <f t="shared" si="4"/>
        <v>219.24</v>
      </c>
      <c r="H12" s="33">
        <f t="shared" si="4"/>
        <v>225.82</v>
      </c>
      <c r="I12" s="33">
        <f t="shared" si="4"/>
        <v>232.54</v>
      </c>
      <c r="J12" s="33">
        <f t="shared" si="4"/>
        <v>239.26</v>
      </c>
      <c r="K12" s="33">
        <f t="shared" si="4"/>
        <v>245.70000000000002</v>
      </c>
      <c r="L12" s="33">
        <f t="shared" si="4"/>
        <v>252.42000000000002</v>
      </c>
      <c r="M12" s="33">
        <f t="shared" si="4"/>
        <v>259.14000000000004</v>
      </c>
    </row>
    <row r="13" spans="1:13" x14ac:dyDescent="0.2">
      <c r="A13" s="13"/>
      <c r="B13" s="13"/>
      <c r="C13" s="16" t="s">
        <v>14</v>
      </c>
      <c r="D13" s="17">
        <f>IF(ROUND(D11*1.5,2)&lt;$G$149,ROUND(D11*1.5,2),IF($G$149&lt;D11,D11,$G$149))</f>
        <v>14.24</v>
      </c>
      <c r="E13" s="17">
        <f t="shared" ref="E13:M13" si="5">IF(ROUND(E11*1.5,2)&lt;$G$149,ROUND(E11*1.5,2),IF($G$149&lt;E11,E11,$G$149))</f>
        <v>14.7</v>
      </c>
      <c r="F13" s="17">
        <f t="shared" si="5"/>
        <v>15.18</v>
      </c>
      <c r="G13" s="17">
        <f t="shared" si="5"/>
        <v>15.66</v>
      </c>
      <c r="H13" s="17">
        <f t="shared" si="5"/>
        <v>16.13</v>
      </c>
      <c r="I13" s="17">
        <f t="shared" si="5"/>
        <v>16.61</v>
      </c>
      <c r="J13" s="17">
        <f t="shared" si="5"/>
        <v>17.09</v>
      </c>
      <c r="K13" s="17">
        <f t="shared" si="5"/>
        <v>17.55</v>
      </c>
      <c r="L13" s="17">
        <f t="shared" si="5"/>
        <v>18.03</v>
      </c>
      <c r="M13" s="17">
        <f t="shared" si="5"/>
        <v>18.510000000000002</v>
      </c>
    </row>
    <row r="14" spans="1:13" s="62" customFormat="1" x14ac:dyDescent="0.2">
      <c r="A14" s="61"/>
      <c r="B14" s="61"/>
      <c r="C14" s="32" t="s">
        <v>46</v>
      </c>
      <c r="D14" s="17">
        <f>(ROUND(D9*'Start Page'!$F$48,2)*80)+(ROUND(D11*'Start Page'!$F$48,2)*($B$15-80))</f>
        <v>0</v>
      </c>
      <c r="E14" s="17">
        <f>(ROUND(E9*'Start Page'!$F$48,2)*80)+(ROUND(E11*'Start Page'!$F$48,2)*($B$15-80))</f>
        <v>0</v>
      </c>
      <c r="F14" s="17">
        <f>(ROUND(F9*'Start Page'!$F$48,2)*80)+(ROUND(F11*'Start Page'!$F$48,2)*($B$15-80))</f>
        <v>0</v>
      </c>
      <c r="G14" s="17">
        <f>(ROUND(G9*'Start Page'!$F$48,2)*80)+(ROUND(G11*'Start Page'!$F$48,2)*($B$15-80))</f>
        <v>0</v>
      </c>
      <c r="H14" s="17">
        <f>(ROUND(H9*'Start Page'!$F$48,2)*80)+(ROUND(H11*'Start Page'!$F$48,2)*($B$15-80))</f>
        <v>0</v>
      </c>
      <c r="I14" s="17">
        <f>(ROUND(I9*'Start Page'!$F$48,2)*80)+(ROUND(I11*'Start Page'!$F$48,2)*($B$15-80))</f>
        <v>0</v>
      </c>
      <c r="J14" s="17">
        <f>(ROUND(J9*'Start Page'!$F$48,2)*80)+(ROUND(J11*'Start Page'!$F$48,2)*($B$15-80))</f>
        <v>0</v>
      </c>
      <c r="K14" s="17">
        <f>(ROUND(K9*'Start Page'!$F$48,2)*80)+(ROUND(K11*'Start Page'!$F$48,2)*($B$15-80))</f>
        <v>0</v>
      </c>
      <c r="L14" s="17">
        <f>(ROUND(L9*'Start Page'!$F$48,2)*80)+(ROUND(L11*'Start Page'!$F$48,2)*($B$15-80))</f>
        <v>0</v>
      </c>
      <c r="M14" s="17">
        <f>(ROUND(M9*'Start Page'!$F$48,2)*80)+(ROUND(M11*'Start Page'!$F$48,2)*($B$15-80))</f>
        <v>0</v>
      </c>
    </row>
    <row r="15" spans="1:13" x14ac:dyDescent="0.2">
      <c r="A15" s="13"/>
      <c r="B15" s="13">
        <f>B8+B10+B12</f>
        <v>120</v>
      </c>
      <c r="C15" s="20" t="s">
        <v>17</v>
      </c>
      <c r="D15" s="34">
        <f>D8+D10+D12+D14</f>
        <v>1448.5</v>
      </c>
      <c r="E15" s="34">
        <f t="shared" ref="E15:M15" si="6">E8+E10+E12+E14</f>
        <v>1496.6</v>
      </c>
      <c r="F15" s="34">
        <f t="shared" si="6"/>
        <v>1545.2399999999998</v>
      </c>
      <c r="G15" s="34">
        <f t="shared" si="6"/>
        <v>1593.08</v>
      </c>
      <c r="H15" s="34">
        <f t="shared" si="6"/>
        <v>1641.32</v>
      </c>
      <c r="I15" s="34">
        <f t="shared" si="6"/>
        <v>1689.9599999999998</v>
      </c>
      <c r="J15" s="34">
        <f t="shared" si="6"/>
        <v>1738.5999999999997</v>
      </c>
      <c r="K15" s="34">
        <f t="shared" si="6"/>
        <v>1786.7000000000003</v>
      </c>
      <c r="L15" s="34">
        <f t="shared" si="6"/>
        <v>1834.54</v>
      </c>
      <c r="M15" s="34">
        <f t="shared" si="6"/>
        <v>1883.1799999999998</v>
      </c>
    </row>
    <row r="16" spans="1:13" x14ac:dyDescent="0.2">
      <c r="A16" s="13"/>
      <c r="B16" s="13"/>
      <c r="C16" s="20" t="s">
        <v>33</v>
      </c>
      <c r="D16" s="34">
        <f>D15*'Start Page'!$C$65</f>
        <v>37661</v>
      </c>
      <c r="E16" s="34">
        <f>E15*'Start Page'!$C$65</f>
        <v>38911.599999999999</v>
      </c>
      <c r="F16" s="34">
        <f>F15*'Start Page'!$C$65</f>
        <v>40176.239999999991</v>
      </c>
      <c r="G16" s="34">
        <f>G15*'Start Page'!$C$65</f>
        <v>41420.080000000002</v>
      </c>
      <c r="H16" s="34">
        <f>H15*'Start Page'!$C$65</f>
        <v>42674.32</v>
      </c>
      <c r="I16" s="34">
        <f>I15*'Start Page'!$C$65</f>
        <v>43938.959999999992</v>
      </c>
      <c r="J16" s="34">
        <f>J15*'Start Page'!$C$65</f>
        <v>45203.599999999991</v>
      </c>
      <c r="K16" s="34">
        <f>K15*'Start Page'!$C$65</f>
        <v>46454.200000000004</v>
      </c>
      <c r="L16" s="34">
        <f>L15*'Start Page'!$C$65</f>
        <v>47698.04</v>
      </c>
      <c r="M16" s="34">
        <f>M15*'Start Page'!$C$65</f>
        <v>48962.679999999993</v>
      </c>
    </row>
    <row r="17" spans="1:13" s="36" customFormat="1" x14ac:dyDescent="0.2">
      <c r="A17" s="22"/>
      <c r="B17" s="22"/>
      <c r="C17" s="23" t="s">
        <v>71</v>
      </c>
      <c r="D17" s="35">
        <f>((D9*80)+(D11*($B$15-80)))*'Start Page'!$C$65</f>
        <v>35932</v>
      </c>
      <c r="E17" s="35">
        <f>((E9*80)+(E11*($B$15-80)))*'Start Page'!$C$65</f>
        <v>37128</v>
      </c>
      <c r="F17" s="35">
        <f>((F9*80)+(F11*($B$15-80)))*'Start Page'!$C$65</f>
        <v>38334.399999999994</v>
      </c>
      <c r="G17" s="35">
        <f>((G9*80)+(G11*($B$15-80)))*'Start Page'!$C$65</f>
        <v>39519.999999999993</v>
      </c>
      <c r="H17" s="35">
        <f>((H9*80)+(H11*($B$15-80)))*'Start Page'!$C$65</f>
        <v>40716</v>
      </c>
      <c r="I17" s="35">
        <f>((I9*80)+(I11*($B$15-80)))*'Start Page'!$C$65</f>
        <v>41922.399999999994</v>
      </c>
      <c r="J17" s="35">
        <f>((J9*80)+(J11*($B$15-80)))*'Start Page'!$C$65</f>
        <v>43128.799999999996</v>
      </c>
      <c r="K17" s="35">
        <f>((K9*80)+(K11*($B$15-80)))*'Start Page'!$C$65</f>
        <v>44324.800000000003</v>
      </c>
      <c r="L17" s="35">
        <f>((L9*80)+(L11*($B$15-80)))*'Start Page'!$C$65</f>
        <v>45510.399999999994</v>
      </c>
      <c r="M17" s="121">
        <f>((M9*80)+(M11*($B$15-80)))*'Start Page'!$C$65</f>
        <v>46716.799999999996</v>
      </c>
    </row>
    <row r="18" spans="1:13" x14ac:dyDescent="0.2">
      <c r="A18" s="13"/>
      <c r="B18" s="26"/>
      <c r="C18" s="14" t="s">
        <v>30</v>
      </c>
      <c r="D18" s="117">
        <f>'GS Pay Scale'!B10</f>
        <v>29356</v>
      </c>
      <c r="E18" s="117">
        <f>'GS Pay Scale'!C10</f>
        <v>30334</v>
      </c>
      <c r="F18" s="117">
        <f>'GS Pay Scale'!D10</f>
        <v>31312</v>
      </c>
      <c r="G18" s="117">
        <f>'GS Pay Scale'!E10</f>
        <v>32290</v>
      </c>
      <c r="H18" s="117">
        <f>'GS Pay Scale'!F10</f>
        <v>33268</v>
      </c>
      <c r="I18" s="117">
        <f>'GS Pay Scale'!G10</f>
        <v>34246</v>
      </c>
      <c r="J18" s="117">
        <f>'GS Pay Scale'!H10</f>
        <v>35224</v>
      </c>
      <c r="K18" s="117">
        <f>'GS Pay Scale'!I10</f>
        <v>36202</v>
      </c>
      <c r="L18" s="117">
        <f>'GS Pay Scale'!J10</f>
        <v>37180</v>
      </c>
      <c r="M18" s="117">
        <f>'GS Pay Scale'!K10</f>
        <v>38158</v>
      </c>
    </row>
    <row r="19" spans="1:13" x14ac:dyDescent="0.2">
      <c r="A19" s="13"/>
      <c r="B19" s="13">
        <v>80</v>
      </c>
      <c r="C19" s="32" t="s">
        <v>44</v>
      </c>
      <c r="D19" s="118">
        <f t="shared" ref="D19:M19" si="7">D20*80</f>
        <v>1125.5999999999999</v>
      </c>
      <c r="E19" s="118">
        <f t="shared" si="7"/>
        <v>1162.3999999999999</v>
      </c>
      <c r="F19" s="118">
        <f t="shared" si="7"/>
        <v>1200</v>
      </c>
      <c r="G19" s="118">
        <f t="shared" si="7"/>
        <v>1237.6000000000001</v>
      </c>
      <c r="H19" s="118">
        <f t="shared" si="7"/>
        <v>1275.2</v>
      </c>
      <c r="I19" s="118">
        <f t="shared" si="7"/>
        <v>1312.8</v>
      </c>
      <c r="J19" s="118">
        <f t="shared" si="7"/>
        <v>1350.3999999999999</v>
      </c>
      <c r="K19" s="118">
        <f t="shared" si="7"/>
        <v>1388</v>
      </c>
      <c r="L19" s="118">
        <f t="shared" si="7"/>
        <v>1425.6</v>
      </c>
      <c r="M19" s="118">
        <f t="shared" si="7"/>
        <v>1462.4</v>
      </c>
    </row>
    <row r="20" spans="1:13" x14ac:dyDescent="0.2">
      <c r="A20" s="13"/>
      <c r="B20" s="13"/>
      <c r="C20" s="32" t="s">
        <v>20</v>
      </c>
      <c r="D20" s="33">
        <f t="shared" ref="D20:M20" si="8">ROUND(D18/2087,2)</f>
        <v>14.07</v>
      </c>
      <c r="E20" s="33">
        <f t="shared" si="8"/>
        <v>14.53</v>
      </c>
      <c r="F20" s="33">
        <f t="shared" si="8"/>
        <v>15</v>
      </c>
      <c r="G20" s="33">
        <f t="shared" si="8"/>
        <v>15.47</v>
      </c>
      <c r="H20" s="33">
        <f t="shared" si="8"/>
        <v>15.94</v>
      </c>
      <c r="I20" s="33">
        <f t="shared" si="8"/>
        <v>16.41</v>
      </c>
      <c r="J20" s="33">
        <f t="shared" si="8"/>
        <v>16.88</v>
      </c>
      <c r="K20" s="33">
        <f t="shared" si="8"/>
        <v>17.350000000000001</v>
      </c>
      <c r="L20" s="33">
        <f t="shared" si="8"/>
        <v>17.82</v>
      </c>
      <c r="M20" s="33">
        <f t="shared" si="8"/>
        <v>18.28</v>
      </c>
    </row>
    <row r="21" spans="1:13" x14ac:dyDescent="0.2">
      <c r="A21" s="13"/>
      <c r="B21" s="13">
        <v>26</v>
      </c>
      <c r="C21" s="16" t="s">
        <v>41</v>
      </c>
      <c r="D21" s="33">
        <f t="shared" ref="D21:M21" si="9">D22*26</f>
        <v>276.90000000000003</v>
      </c>
      <c r="E21" s="33">
        <f t="shared" si="9"/>
        <v>286.26</v>
      </c>
      <c r="F21" s="33">
        <f t="shared" si="9"/>
        <v>295.36</v>
      </c>
      <c r="G21" s="33">
        <f t="shared" si="9"/>
        <v>304.72000000000003</v>
      </c>
      <c r="H21" s="33">
        <f t="shared" si="9"/>
        <v>313.82</v>
      </c>
      <c r="I21" s="33">
        <f t="shared" si="9"/>
        <v>323.18</v>
      </c>
      <c r="J21" s="33">
        <f t="shared" si="9"/>
        <v>332.28</v>
      </c>
      <c r="K21" s="33">
        <f t="shared" si="9"/>
        <v>341.64</v>
      </c>
      <c r="L21" s="33">
        <f t="shared" si="9"/>
        <v>350.74</v>
      </c>
      <c r="M21" s="33">
        <f t="shared" si="9"/>
        <v>360.09999999999997</v>
      </c>
    </row>
    <row r="22" spans="1:13" x14ac:dyDescent="0.2">
      <c r="A22" s="13"/>
      <c r="B22" s="13"/>
      <c r="C22" s="16" t="s">
        <v>13</v>
      </c>
      <c r="D22" s="33">
        <f t="shared" ref="D22:M22" si="10">ROUND(D18/2756,2)</f>
        <v>10.65</v>
      </c>
      <c r="E22" s="33">
        <f t="shared" si="10"/>
        <v>11.01</v>
      </c>
      <c r="F22" s="33">
        <f t="shared" si="10"/>
        <v>11.36</v>
      </c>
      <c r="G22" s="33">
        <f t="shared" si="10"/>
        <v>11.72</v>
      </c>
      <c r="H22" s="33">
        <f t="shared" si="10"/>
        <v>12.07</v>
      </c>
      <c r="I22" s="33">
        <f t="shared" si="10"/>
        <v>12.43</v>
      </c>
      <c r="J22" s="33">
        <f t="shared" si="10"/>
        <v>12.78</v>
      </c>
      <c r="K22" s="33">
        <f t="shared" si="10"/>
        <v>13.14</v>
      </c>
      <c r="L22" s="33">
        <f t="shared" si="10"/>
        <v>13.49</v>
      </c>
      <c r="M22" s="33">
        <f t="shared" si="10"/>
        <v>13.85</v>
      </c>
    </row>
    <row r="23" spans="1:13" x14ac:dyDescent="0.2">
      <c r="A23" s="13" t="s">
        <v>23</v>
      </c>
      <c r="B23" s="19">
        <f>($G$3-53)*2</f>
        <v>14</v>
      </c>
      <c r="C23" s="16" t="s">
        <v>42</v>
      </c>
      <c r="D23" s="33">
        <f t="shared" ref="D23:M23" si="11">D24*$B$12</f>
        <v>223.72</v>
      </c>
      <c r="E23" s="33">
        <f t="shared" si="11"/>
        <v>231.28</v>
      </c>
      <c r="F23" s="33">
        <f t="shared" si="11"/>
        <v>238.56</v>
      </c>
      <c r="G23" s="33">
        <f t="shared" si="11"/>
        <v>246.11999999999998</v>
      </c>
      <c r="H23" s="33">
        <f t="shared" si="11"/>
        <v>253.54</v>
      </c>
      <c r="I23" s="33">
        <f t="shared" si="11"/>
        <v>261.09999999999997</v>
      </c>
      <c r="J23" s="33">
        <f t="shared" si="11"/>
        <v>268.38</v>
      </c>
      <c r="K23" s="33">
        <f t="shared" si="11"/>
        <v>275.94</v>
      </c>
      <c r="L23" s="33">
        <f t="shared" si="11"/>
        <v>283.35999999999996</v>
      </c>
      <c r="M23" s="33">
        <f t="shared" si="11"/>
        <v>290.92</v>
      </c>
    </row>
    <row r="24" spans="1:13" x14ac:dyDescent="0.2">
      <c r="A24" s="13"/>
      <c r="B24" s="13"/>
      <c r="C24" s="16" t="s">
        <v>14</v>
      </c>
      <c r="D24" s="17">
        <f t="shared" ref="D24:M24" si="12">IF(ROUND(D22*1.5,2)&lt;$G$149,ROUND(D22*1.5,2),IF($G$149&lt;D22,D22,$G$149))</f>
        <v>15.98</v>
      </c>
      <c r="E24" s="17">
        <f t="shared" si="12"/>
        <v>16.52</v>
      </c>
      <c r="F24" s="17">
        <f t="shared" si="12"/>
        <v>17.04</v>
      </c>
      <c r="G24" s="17">
        <f t="shared" si="12"/>
        <v>17.579999999999998</v>
      </c>
      <c r="H24" s="17">
        <f t="shared" si="12"/>
        <v>18.11</v>
      </c>
      <c r="I24" s="17">
        <f t="shared" si="12"/>
        <v>18.649999999999999</v>
      </c>
      <c r="J24" s="17">
        <f t="shared" si="12"/>
        <v>19.170000000000002</v>
      </c>
      <c r="K24" s="17">
        <f t="shared" si="12"/>
        <v>19.71</v>
      </c>
      <c r="L24" s="17">
        <f t="shared" si="12"/>
        <v>20.239999999999998</v>
      </c>
      <c r="M24" s="17">
        <f t="shared" si="12"/>
        <v>20.78</v>
      </c>
    </row>
    <row r="25" spans="1:13" s="62" customFormat="1" x14ac:dyDescent="0.2">
      <c r="A25" s="61"/>
      <c r="B25" s="61"/>
      <c r="C25" s="32" t="s">
        <v>46</v>
      </c>
      <c r="D25" s="17">
        <f>(ROUND(D20*'Start Page'!$F$48,2)*80)+(ROUND(D22*'Start Page'!$F$48,2)*($B$15-80))</f>
        <v>0</v>
      </c>
      <c r="E25" s="17">
        <f>(ROUND(E20*'Start Page'!$F$48,2)*80)+(ROUND(E22*'Start Page'!$F$48,2)*($B$15-80))</f>
        <v>0</v>
      </c>
      <c r="F25" s="17">
        <f>(ROUND(F20*'Start Page'!$F$48,2)*80)+(ROUND(F22*'Start Page'!$F$48,2)*($B$15-80))</f>
        <v>0</v>
      </c>
      <c r="G25" s="17">
        <f>(ROUND(G20*'Start Page'!$F$48,2)*80)+(ROUND(G22*'Start Page'!$F$48,2)*($B$15-80))</f>
        <v>0</v>
      </c>
      <c r="H25" s="17">
        <f>(ROUND(H20*'Start Page'!$F$48,2)*80)+(ROUND(H22*'Start Page'!$F$48,2)*($B$15-80))</f>
        <v>0</v>
      </c>
      <c r="I25" s="17">
        <f>(ROUND(I20*'Start Page'!$F$48,2)*80)+(ROUND(I22*'Start Page'!$F$48,2)*($B$15-80))</f>
        <v>0</v>
      </c>
      <c r="J25" s="17">
        <f>(ROUND(J20*'Start Page'!$F$48,2)*80)+(ROUND(J22*'Start Page'!$F$48,2)*($B$15-80))</f>
        <v>0</v>
      </c>
      <c r="K25" s="17">
        <f>(ROUND(K20*'Start Page'!$F$48,2)*80)+(ROUND(K22*'Start Page'!$F$48,2)*($B$15-80))</f>
        <v>0</v>
      </c>
      <c r="L25" s="17">
        <f>(ROUND(L20*'Start Page'!$F$48,2)*80)+(ROUND(L22*'Start Page'!$F$48,2)*($B$15-80))</f>
        <v>0</v>
      </c>
      <c r="M25" s="17">
        <f>(ROUND(M20*'Start Page'!$F$48,2)*80)+(ROUND(M22*'Start Page'!$F$48,2)*($B$15-80))</f>
        <v>0</v>
      </c>
    </row>
    <row r="26" spans="1:13" x14ac:dyDescent="0.2">
      <c r="A26" s="13"/>
      <c r="B26" s="13">
        <f>B19+B21+B23</f>
        <v>120</v>
      </c>
      <c r="C26" s="20" t="s">
        <v>17</v>
      </c>
      <c r="D26" s="34">
        <f t="shared" ref="D26:M26" si="13">D19+D21+D23+D25</f>
        <v>1626.22</v>
      </c>
      <c r="E26" s="34">
        <f t="shared" si="13"/>
        <v>1679.9399999999998</v>
      </c>
      <c r="F26" s="34">
        <f t="shared" si="13"/>
        <v>1733.92</v>
      </c>
      <c r="G26" s="34">
        <f t="shared" si="13"/>
        <v>1788.44</v>
      </c>
      <c r="H26" s="34">
        <f t="shared" si="13"/>
        <v>1842.56</v>
      </c>
      <c r="I26" s="34">
        <f t="shared" si="13"/>
        <v>1897.08</v>
      </c>
      <c r="J26" s="34">
        <f t="shared" si="13"/>
        <v>1951.06</v>
      </c>
      <c r="K26" s="34">
        <f t="shared" si="13"/>
        <v>2005.58</v>
      </c>
      <c r="L26" s="34">
        <f t="shared" si="13"/>
        <v>2059.6999999999998</v>
      </c>
      <c r="M26" s="34">
        <f t="shared" si="13"/>
        <v>2113.42</v>
      </c>
    </row>
    <row r="27" spans="1:13" x14ac:dyDescent="0.2">
      <c r="A27" s="13"/>
      <c r="B27" s="13"/>
      <c r="C27" s="20" t="s">
        <v>33</v>
      </c>
      <c r="D27" s="34">
        <f>D26*'Start Page'!$C$65</f>
        <v>42281.72</v>
      </c>
      <c r="E27" s="34">
        <f>E26*'Start Page'!$C$65</f>
        <v>43678.439999999995</v>
      </c>
      <c r="F27" s="34">
        <f>F26*'Start Page'!$C$65</f>
        <v>45081.919999999998</v>
      </c>
      <c r="G27" s="34">
        <f>G26*'Start Page'!$C$65</f>
        <v>46499.44</v>
      </c>
      <c r="H27" s="34">
        <f>H26*'Start Page'!$C$65</f>
        <v>47906.559999999998</v>
      </c>
      <c r="I27" s="34">
        <f>I26*'Start Page'!$C$65</f>
        <v>49324.08</v>
      </c>
      <c r="J27" s="34">
        <f>J26*'Start Page'!$C$65</f>
        <v>50727.56</v>
      </c>
      <c r="K27" s="34">
        <f>K26*'Start Page'!$C$65</f>
        <v>52145.08</v>
      </c>
      <c r="L27" s="34">
        <f>L26*'Start Page'!$C$65</f>
        <v>53552.2</v>
      </c>
      <c r="M27" s="34">
        <f>M26*'Start Page'!$C$65</f>
        <v>54948.92</v>
      </c>
    </row>
    <row r="28" spans="1:13" s="36" customFormat="1" x14ac:dyDescent="0.2">
      <c r="A28" s="22"/>
      <c r="B28" s="22"/>
      <c r="C28" s="23" t="s">
        <v>71</v>
      </c>
      <c r="D28" s="35">
        <f>((D20*80)+(D22*($B$15-80)))*'Start Page'!$C$65</f>
        <v>40341.599999999999</v>
      </c>
      <c r="E28" s="35">
        <f>((E20*80)+(E22*($B$15-80)))*'Start Page'!$C$65</f>
        <v>41672.799999999996</v>
      </c>
      <c r="F28" s="35">
        <f>((F20*80)+(F22*($B$15-80)))*'Start Page'!$C$65</f>
        <v>43014.400000000001</v>
      </c>
      <c r="G28" s="35">
        <f>((G20*80)+(G22*($B$15-80)))*'Start Page'!$C$65</f>
        <v>44366.400000000001</v>
      </c>
      <c r="H28" s="35">
        <f>((H20*80)+(H22*($B$15-80)))*'Start Page'!$C$65</f>
        <v>45708</v>
      </c>
      <c r="I28" s="35">
        <f>((I20*80)+(I22*($B$15-80)))*'Start Page'!$C$65</f>
        <v>47060</v>
      </c>
      <c r="J28" s="35">
        <f>((J20*80)+(J22*($B$15-80)))*'Start Page'!$C$65</f>
        <v>48401.599999999999</v>
      </c>
      <c r="K28" s="35">
        <f>((K20*80)+(K22*($B$15-80)))*'Start Page'!$C$65</f>
        <v>49753.599999999999</v>
      </c>
      <c r="L28" s="35">
        <f>((L20*80)+(L22*($B$15-80)))*'Start Page'!$C$65</f>
        <v>51095.199999999997</v>
      </c>
      <c r="M28" s="121">
        <f>((M20*80)+(M22*($B$15-80)))*'Start Page'!$C$65</f>
        <v>52426.400000000001</v>
      </c>
    </row>
    <row r="29" spans="1:13" x14ac:dyDescent="0.2">
      <c r="A29" s="13"/>
      <c r="B29" s="26"/>
      <c r="C29" s="14" t="s">
        <v>30</v>
      </c>
      <c r="D29" s="117">
        <f>'GS Pay Scale'!B11</f>
        <v>32844</v>
      </c>
      <c r="E29" s="117">
        <f>'GS Pay Scale'!C11</f>
        <v>33939</v>
      </c>
      <c r="F29" s="117">
        <f>'GS Pay Scale'!D11</f>
        <v>35035</v>
      </c>
      <c r="G29" s="117">
        <f>'GS Pay Scale'!E11</f>
        <v>36130</v>
      </c>
      <c r="H29" s="117">
        <f>'GS Pay Scale'!F11</f>
        <v>37225</v>
      </c>
      <c r="I29" s="117">
        <f>'GS Pay Scale'!G11</f>
        <v>38321</v>
      </c>
      <c r="J29" s="117">
        <f>'GS Pay Scale'!H11</f>
        <v>39416</v>
      </c>
      <c r="K29" s="117">
        <f>'GS Pay Scale'!I11</f>
        <v>40511</v>
      </c>
      <c r="L29" s="117">
        <f>'GS Pay Scale'!J11</f>
        <v>41607</v>
      </c>
      <c r="M29" s="117">
        <f>'GS Pay Scale'!K11</f>
        <v>42702</v>
      </c>
    </row>
    <row r="30" spans="1:13" x14ac:dyDescent="0.2">
      <c r="A30" s="13"/>
      <c r="B30" s="13">
        <v>80</v>
      </c>
      <c r="C30" s="32" t="s">
        <v>44</v>
      </c>
      <c r="D30" s="118">
        <f t="shared" ref="D30:M30" si="14">D31*80</f>
        <v>1259.2</v>
      </c>
      <c r="E30" s="118">
        <f t="shared" si="14"/>
        <v>1300.8000000000002</v>
      </c>
      <c r="F30" s="118">
        <f t="shared" si="14"/>
        <v>1343.1999999999998</v>
      </c>
      <c r="G30" s="118">
        <f t="shared" si="14"/>
        <v>1384.8</v>
      </c>
      <c r="H30" s="118">
        <f t="shared" si="14"/>
        <v>1427.2</v>
      </c>
      <c r="I30" s="118">
        <f t="shared" si="14"/>
        <v>1468.8</v>
      </c>
      <c r="J30" s="118">
        <f t="shared" si="14"/>
        <v>1511.2</v>
      </c>
      <c r="K30" s="118">
        <f t="shared" si="14"/>
        <v>1552.8</v>
      </c>
      <c r="L30" s="118">
        <f t="shared" si="14"/>
        <v>1595.2</v>
      </c>
      <c r="M30" s="118">
        <f t="shared" si="14"/>
        <v>1636.8000000000002</v>
      </c>
    </row>
    <row r="31" spans="1:13" x14ac:dyDescent="0.2">
      <c r="A31" s="13"/>
      <c r="B31" s="13"/>
      <c r="C31" s="32" t="s">
        <v>20</v>
      </c>
      <c r="D31" s="33">
        <f t="shared" ref="D31:M31" si="15">ROUND(D29/2087,2)</f>
        <v>15.74</v>
      </c>
      <c r="E31" s="33">
        <f t="shared" si="15"/>
        <v>16.260000000000002</v>
      </c>
      <c r="F31" s="33">
        <f t="shared" si="15"/>
        <v>16.79</v>
      </c>
      <c r="G31" s="33">
        <f t="shared" si="15"/>
        <v>17.309999999999999</v>
      </c>
      <c r="H31" s="33">
        <f t="shared" si="15"/>
        <v>17.84</v>
      </c>
      <c r="I31" s="33">
        <f t="shared" si="15"/>
        <v>18.36</v>
      </c>
      <c r="J31" s="33">
        <f t="shared" si="15"/>
        <v>18.89</v>
      </c>
      <c r="K31" s="33">
        <f t="shared" si="15"/>
        <v>19.41</v>
      </c>
      <c r="L31" s="33">
        <f t="shared" si="15"/>
        <v>19.940000000000001</v>
      </c>
      <c r="M31" s="33">
        <f t="shared" si="15"/>
        <v>20.46</v>
      </c>
    </row>
    <row r="32" spans="1:13" x14ac:dyDescent="0.2">
      <c r="A32" s="13"/>
      <c r="B32" s="13">
        <v>26</v>
      </c>
      <c r="C32" s="16" t="s">
        <v>41</v>
      </c>
      <c r="D32" s="33">
        <f t="shared" ref="D32:M32" si="16">D33*26</f>
        <v>309.92</v>
      </c>
      <c r="E32" s="33">
        <f t="shared" si="16"/>
        <v>320.06</v>
      </c>
      <c r="F32" s="33">
        <f t="shared" si="16"/>
        <v>330.46000000000004</v>
      </c>
      <c r="G32" s="33">
        <f t="shared" si="16"/>
        <v>340.86</v>
      </c>
      <c r="H32" s="33">
        <f t="shared" si="16"/>
        <v>351.26</v>
      </c>
      <c r="I32" s="33">
        <f t="shared" si="16"/>
        <v>361.40000000000003</v>
      </c>
      <c r="J32" s="33">
        <f t="shared" si="16"/>
        <v>371.8</v>
      </c>
      <c r="K32" s="33">
        <f t="shared" si="16"/>
        <v>382.2</v>
      </c>
      <c r="L32" s="33">
        <f t="shared" si="16"/>
        <v>392.59999999999997</v>
      </c>
      <c r="M32" s="33">
        <f t="shared" si="16"/>
        <v>402.74</v>
      </c>
    </row>
    <row r="33" spans="1:13" x14ac:dyDescent="0.2">
      <c r="A33" s="13"/>
      <c r="B33" s="13"/>
      <c r="C33" s="16" t="s">
        <v>13</v>
      </c>
      <c r="D33" s="33">
        <f t="shared" ref="D33:M33" si="17">ROUND(D29/2756,2)</f>
        <v>11.92</v>
      </c>
      <c r="E33" s="33">
        <f t="shared" si="17"/>
        <v>12.31</v>
      </c>
      <c r="F33" s="33">
        <f t="shared" si="17"/>
        <v>12.71</v>
      </c>
      <c r="G33" s="33">
        <f t="shared" si="17"/>
        <v>13.11</v>
      </c>
      <c r="H33" s="33">
        <f t="shared" si="17"/>
        <v>13.51</v>
      </c>
      <c r="I33" s="33">
        <f t="shared" si="17"/>
        <v>13.9</v>
      </c>
      <c r="J33" s="33">
        <f t="shared" si="17"/>
        <v>14.3</v>
      </c>
      <c r="K33" s="33">
        <f t="shared" si="17"/>
        <v>14.7</v>
      </c>
      <c r="L33" s="33">
        <f t="shared" si="17"/>
        <v>15.1</v>
      </c>
      <c r="M33" s="33">
        <f t="shared" si="17"/>
        <v>15.49</v>
      </c>
    </row>
    <row r="34" spans="1:13" x14ac:dyDescent="0.2">
      <c r="A34" s="13" t="s">
        <v>24</v>
      </c>
      <c r="B34" s="19">
        <f>($G$3-53)*2</f>
        <v>14</v>
      </c>
      <c r="C34" s="16" t="s">
        <v>42</v>
      </c>
      <c r="D34" s="33">
        <f t="shared" ref="D34:M34" si="18">D35*$B$12</f>
        <v>250.32</v>
      </c>
      <c r="E34" s="33">
        <f t="shared" si="18"/>
        <v>258.58</v>
      </c>
      <c r="F34" s="33">
        <f t="shared" si="18"/>
        <v>266.98</v>
      </c>
      <c r="G34" s="33">
        <f t="shared" si="18"/>
        <v>275.38</v>
      </c>
      <c r="H34" s="33">
        <f t="shared" si="18"/>
        <v>283.77999999999997</v>
      </c>
      <c r="I34" s="33">
        <f t="shared" si="18"/>
        <v>291.90000000000003</v>
      </c>
      <c r="J34" s="33">
        <f t="shared" si="18"/>
        <v>300.3</v>
      </c>
      <c r="K34" s="33">
        <f t="shared" si="18"/>
        <v>308.7</v>
      </c>
      <c r="L34" s="33">
        <f t="shared" si="18"/>
        <v>317.09999999999997</v>
      </c>
      <c r="M34" s="33">
        <f t="shared" si="18"/>
        <v>325.35999999999996</v>
      </c>
    </row>
    <row r="35" spans="1:13" x14ac:dyDescent="0.2">
      <c r="A35" s="13"/>
      <c r="B35" s="13"/>
      <c r="C35" s="16" t="s">
        <v>14</v>
      </c>
      <c r="D35" s="17">
        <f t="shared" ref="D35:M35" si="19">IF(ROUND(D33*1.5,2)&lt;$G$149,ROUND(D33*1.5,2),IF($G$149&lt;D33,D33,$G$149))</f>
        <v>17.88</v>
      </c>
      <c r="E35" s="17">
        <f t="shared" si="19"/>
        <v>18.47</v>
      </c>
      <c r="F35" s="17">
        <f t="shared" si="19"/>
        <v>19.07</v>
      </c>
      <c r="G35" s="17">
        <f t="shared" si="19"/>
        <v>19.670000000000002</v>
      </c>
      <c r="H35" s="17">
        <f t="shared" si="19"/>
        <v>20.27</v>
      </c>
      <c r="I35" s="17">
        <f t="shared" si="19"/>
        <v>20.85</v>
      </c>
      <c r="J35" s="17">
        <f t="shared" si="19"/>
        <v>21.45</v>
      </c>
      <c r="K35" s="17">
        <f t="shared" si="19"/>
        <v>22.05</v>
      </c>
      <c r="L35" s="17">
        <f t="shared" si="19"/>
        <v>22.65</v>
      </c>
      <c r="M35" s="17">
        <f t="shared" si="19"/>
        <v>23.24</v>
      </c>
    </row>
    <row r="36" spans="1:13" s="62" customFormat="1" x14ac:dyDescent="0.2">
      <c r="A36" s="61"/>
      <c r="B36" s="61"/>
      <c r="C36" s="32" t="s">
        <v>46</v>
      </c>
      <c r="D36" s="17">
        <f>(ROUND(D31*'Start Page'!$F$48,2)*80)+(ROUND(D33*'Start Page'!$F$48,2)*($B$15-80))</f>
        <v>0</v>
      </c>
      <c r="E36" s="17">
        <f>(ROUND(E31*'Start Page'!$F$48,2)*80)+(ROUND(E33*'Start Page'!$F$48,2)*($B$15-80))</f>
        <v>0</v>
      </c>
      <c r="F36" s="17">
        <f>(ROUND(F31*'Start Page'!$F$48,2)*80)+(ROUND(F33*'Start Page'!$F$48,2)*($B$15-80))</f>
        <v>0</v>
      </c>
      <c r="G36" s="17">
        <f>(ROUND(G31*'Start Page'!$F$48,2)*80)+(ROUND(G33*'Start Page'!$F$48,2)*($B$15-80))</f>
        <v>0</v>
      </c>
      <c r="H36" s="17">
        <f>(ROUND(H31*'Start Page'!$F$48,2)*80)+(ROUND(H33*'Start Page'!$F$48,2)*($B$15-80))</f>
        <v>0</v>
      </c>
      <c r="I36" s="17">
        <f>(ROUND(I31*'Start Page'!$F$48,2)*80)+(ROUND(I33*'Start Page'!$F$48,2)*($B$15-80))</f>
        <v>0</v>
      </c>
      <c r="J36" s="17">
        <f>(ROUND(J31*'Start Page'!$F$48,2)*80)+(ROUND(J33*'Start Page'!$F$48,2)*($B$15-80))</f>
        <v>0</v>
      </c>
      <c r="K36" s="17">
        <f>(ROUND(K31*'Start Page'!$F$48,2)*80)+(ROUND(K33*'Start Page'!$F$48,2)*($B$15-80))</f>
        <v>0</v>
      </c>
      <c r="L36" s="17">
        <f>(ROUND(L31*'Start Page'!$F$48,2)*80)+(ROUND(L33*'Start Page'!$F$48,2)*($B$15-80))</f>
        <v>0</v>
      </c>
      <c r="M36" s="17">
        <f>(ROUND(M31*'Start Page'!$F$48,2)*80)+(ROUND(M33*'Start Page'!$F$48,2)*($B$15-80))</f>
        <v>0</v>
      </c>
    </row>
    <row r="37" spans="1:13" x14ac:dyDescent="0.2">
      <c r="A37" s="13"/>
      <c r="B37" s="13">
        <f>B30+B32+B34</f>
        <v>120</v>
      </c>
      <c r="C37" s="20" t="s">
        <v>17</v>
      </c>
      <c r="D37" s="34">
        <f t="shared" ref="D37:M37" si="20">D30+D32+D34+D36</f>
        <v>1819.44</v>
      </c>
      <c r="E37" s="34">
        <f t="shared" si="20"/>
        <v>1879.44</v>
      </c>
      <c r="F37" s="34">
        <f t="shared" si="20"/>
        <v>1940.6399999999999</v>
      </c>
      <c r="G37" s="34">
        <f t="shared" si="20"/>
        <v>2001.04</v>
      </c>
      <c r="H37" s="34">
        <f t="shared" si="20"/>
        <v>2062.2399999999998</v>
      </c>
      <c r="I37" s="34">
        <f t="shared" si="20"/>
        <v>2122.1</v>
      </c>
      <c r="J37" s="34">
        <f t="shared" si="20"/>
        <v>2183.3000000000002</v>
      </c>
      <c r="K37" s="34">
        <f t="shared" si="20"/>
        <v>2243.6999999999998</v>
      </c>
      <c r="L37" s="34">
        <f t="shared" si="20"/>
        <v>2304.9</v>
      </c>
      <c r="M37" s="34">
        <f t="shared" si="20"/>
        <v>2364.9</v>
      </c>
    </row>
    <row r="38" spans="1:13" x14ac:dyDescent="0.2">
      <c r="A38" s="13"/>
      <c r="B38" s="13"/>
      <c r="C38" s="20" t="s">
        <v>33</v>
      </c>
      <c r="D38" s="34">
        <f>D37*'Start Page'!$C$65</f>
        <v>47305.440000000002</v>
      </c>
      <c r="E38" s="34">
        <f>E37*'Start Page'!$C$65</f>
        <v>48865.440000000002</v>
      </c>
      <c r="F38" s="34">
        <f>F37*'Start Page'!$C$65</f>
        <v>50456.639999999999</v>
      </c>
      <c r="G38" s="34">
        <f>G37*'Start Page'!$C$65</f>
        <v>52027.040000000001</v>
      </c>
      <c r="H38" s="34">
        <f>H37*'Start Page'!$C$65</f>
        <v>53618.239999999991</v>
      </c>
      <c r="I38" s="34">
        <f>I37*'Start Page'!$C$65</f>
        <v>55174.6</v>
      </c>
      <c r="J38" s="34">
        <f>J37*'Start Page'!$C$65</f>
        <v>56765.8</v>
      </c>
      <c r="K38" s="34">
        <f>K37*'Start Page'!$C$65</f>
        <v>58336.2</v>
      </c>
      <c r="L38" s="34">
        <f>L37*'Start Page'!$C$65</f>
        <v>59927.4</v>
      </c>
      <c r="M38" s="34">
        <f>M37*'Start Page'!$C$65</f>
        <v>61487.4</v>
      </c>
    </row>
    <row r="39" spans="1:13" s="36" customFormat="1" x14ac:dyDescent="0.2">
      <c r="A39" s="22"/>
      <c r="B39" s="22"/>
      <c r="C39" s="23" t="s">
        <v>71</v>
      </c>
      <c r="D39" s="35">
        <f>((D31*80)+(D33*($B$15-80)))*'Start Page'!$C$65</f>
        <v>45136</v>
      </c>
      <c r="E39" s="35">
        <f>((E31*80)+(E33*($B$15-80)))*'Start Page'!$C$65</f>
        <v>46623.200000000004</v>
      </c>
      <c r="F39" s="35">
        <f>((F31*80)+(F33*($B$15-80)))*'Start Page'!$C$65</f>
        <v>48141.599999999999</v>
      </c>
      <c r="G39" s="35">
        <f>((G31*80)+(G33*($B$15-80)))*'Start Page'!$C$65</f>
        <v>49639.199999999997</v>
      </c>
      <c r="H39" s="35">
        <f>((H31*80)+(H33*($B$15-80)))*'Start Page'!$C$65</f>
        <v>51157.599999999999</v>
      </c>
      <c r="I39" s="35">
        <f>((I31*80)+(I33*($B$15-80)))*'Start Page'!$C$65</f>
        <v>52644.799999999996</v>
      </c>
      <c r="J39" s="35">
        <f>((J31*80)+(J33*($B$15-80)))*'Start Page'!$C$65</f>
        <v>54163.199999999997</v>
      </c>
      <c r="K39" s="35">
        <f>((K31*80)+(K33*($B$15-80)))*'Start Page'!$C$65</f>
        <v>55660.800000000003</v>
      </c>
      <c r="L39" s="35">
        <f>((L31*80)+(L33*($B$15-80)))*'Start Page'!$C$65</f>
        <v>57179.199999999997</v>
      </c>
      <c r="M39" s="121">
        <f>((M31*80)+(M33*($B$15-80)))*'Start Page'!$C$65</f>
        <v>58666.400000000001</v>
      </c>
    </row>
    <row r="40" spans="1:13" x14ac:dyDescent="0.2">
      <c r="A40" s="13"/>
      <c r="B40" s="26"/>
      <c r="C40" s="14" t="s">
        <v>30</v>
      </c>
      <c r="D40" s="117">
        <f>'GS Pay Scale'!B12</f>
        <v>36611</v>
      </c>
      <c r="E40" s="117">
        <f>'GS Pay Scale'!C12</f>
        <v>37832</v>
      </c>
      <c r="F40" s="117">
        <f>'GS Pay Scale'!D12</f>
        <v>39053</v>
      </c>
      <c r="G40" s="117">
        <f>'GS Pay Scale'!E12</f>
        <v>40273</v>
      </c>
      <c r="H40" s="117">
        <f>'GS Pay Scale'!F12</f>
        <v>41494</v>
      </c>
      <c r="I40" s="117">
        <f>'GS Pay Scale'!G12</f>
        <v>42715</v>
      </c>
      <c r="J40" s="117">
        <f>'GS Pay Scale'!H12</f>
        <v>43936</v>
      </c>
      <c r="K40" s="117">
        <f>'GS Pay Scale'!I12</f>
        <v>45156</v>
      </c>
      <c r="L40" s="117">
        <f>'GS Pay Scale'!J12</f>
        <v>46377</v>
      </c>
      <c r="M40" s="117">
        <f>'GS Pay Scale'!K12</f>
        <v>47598</v>
      </c>
    </row>
    <row r="41" spans="1:13" x14ac:dyDescent="0.2">
      <c r="A41" s="13"/>
      <c r="B41" s="13">
        <v>80</v>
      </c>
      <c r="C41" s="32" t="s">
        <v>44</v>
      </c>
      <c r="D41" s="118">
        <f t="shared" ref="D41:M41" si="21">D42*80</f>
        <v>1403.1999999999998</v>
      </c>
      <c r="E41" s="118">
        <f t="shared" si="21"/>
        <v>1450.3999999999999</v>
      </c>
      <c r="F41" s="118">
        <f t="shared" si="21"/>
        <v>1496.8000000000002</v>
      </c>
      <c r="G41" s="118">
        <f t="shared" si="21"/>
        <v>1544</v>
      </c>
      <c r="H41" s="118">
        <f t="shared" si="21"/>
        <v>1590.3999999999999</v>
      </c>
      <c r="I41" s="118">
        <f t="shared" si="21"/>
        <v>1637.6</v>
      </c>
      <c r="J41" s="118">
        <f t="shared" si="21"/>
        <v>1684</v>
      </c>
      <c r="K41" s="118">
        <f t="shared" si="21"/>
        <v>1731.2</v>
      </c>
      <c r="L41" s="118">
        <f t="shared" si="21"/>
        <v>1777.6</v>
      </c>
      <c r="M41" s="118">
        <f t="shared" si="21"/>
        <v>1824.8</v>
      </c>
    </row>
    <row r="42" spans="1:13" x14ac:dyDescent="0.2">
      <c r="A42" s="13"/>
      <c r="B42" s="13"/>
      <c r="C42" s="32" t="s">
        <v>20</v>
      </c>
      <c r="D42" s="33">
        <f t="shared" ref="D42:M42" si="22">ROUND(D40/2087,2)</f>
        <v>17.54</v>
      </c>
      <c r="E42" s="33">
        <f t="shared" si="22"/>
        <v>18.13</v>
      </c>
      <c r="F42" s="33">
        <f t="shared" si="22"/>
        <v>18.71</v>
      </c>
      <c r="G42" s="33">
        <f t="shared" si="22"/>
        <v>19.3</v>
      </c>
      <c r="H42" s="33">
        <f t="shared" si="22"/>
        <v>19.88</v>
      </c>
      <c r="I42" s="33">
        <f t="shared" si="22"/>
        <v>20.47</v>
      </c>
      <c r="J42" s="33">
        <f t="shared" si="22"/>
        <v>21.05</v>
      </c>
      <c r="K42" s="33">
        <f t="shared" si="22"/>
        <v>21.64</v>
      </c>
      <c r="L42" s="33">
        <f t="shared" si="22"/>
        <v>22.22</v>
      </c>
      <c r="M42" s="33">
        <f t="shared" si="22"/>
        <v>22.81</v>
      </c>
    </row>
    <row r="43" spans="1:13" x14ac:dyDescent="0.2">
      <c r="A43" s="13"/>
      <c r="B43" s="13">
        <v>26</v>
      </c>
      <c r="C43" s="16" t="s">
        <v>41</v>
      </c>
      <c r="D43" s="33">
        <f t="shared" ref="D43:M43" si="23">D44*26</f>
        <v>345.28</v>
      </c>
      <c r="E43" s="33">
        <f t="shared" si="23"/>
        <v>356.98</v>
      </c>
      <c r="F43" s="33">
        <f t="shared" si="23"/>
        <v>368.42</v>
      </c>
      <c r="G43" s="33">
        <f t="shared" si="23"/>
        <v>379.86</v>
      </c>
      <c r="H43" s="33">
        <f t="shared" si="23"/>
        <v>391.56</v>
      </c>
      <c r="I43" s="33">
        <f t="shared" si="23"/>
        <v>403</v>
      </c>
      <c r="J43" s="33">
        <f t="shared" si="23"/>
        <v>414.44</v>
      </c>
      <c r="K43" s="33">
        <f t="shared" si="23"/>
        <v>425.88</v>
      </c>
      <c r="L43" s="33">
        <f t="shared" si="23"/>
        <v>437.57999999999993</v>
      </c>
      <c r="M43" s="33">
        <f t="shared" si="23"/>
        <v>449.02</v>
      </c>
    </row>
    <row r="44" spans="1:13" x14ac:dyDescent="0.2">
      <c r="A44" s="13"/>
      <c r="B44" s="13"/>
      <c r="C44" s="16" t="s">
        <v>13</v>
      </c>
      <c r="D44" s="33">
        <f t="shared" ref="D44:M44" si="24">ROUND(D40/2756,2)</f>
        <v>13.28</v>
      </c>
      <c r="E44" s="33">
        <f t="shared" si="24"/>
        <v>13.73</v>
      </c>
      <c r="F44" s="33">
        <f t="shared" si="24"/>
        <v>14.17</v>
      </c>
      <c r="G44" s="33">
        <f t="shared" si="24"/>
        <v>14.61</v>
      </c>
      <c r="H44" s="33">
        <f t="shared" si="24"/>
        <v>15.06</v>
      </c>
      <c r="I44" s="33">
        <f t="shared" si="24"/>
        <v>15.5</v>
      </c>
      <c r="J44" s="33">
        <f t="shared" si="24"/>
        <v>15.94</v>
      </c>
      <c r="K44" s="33">
        <f t="shared" si="24"/>
        <v>16.38</v>
      </c>
      <c r="L44" s="33">
        <f t="shared" si="24"/>
        <v>16.829999999999998</v>
      </c>
      <c r="M44" s="33">
        <f t="shared" si="24"/>
        <v>17.27</v>
      </c>
    </row>
    <row r="45" spans="1:13" x14ac:dyDescent="0.2">
      <c r="A45" s="13" t="s">
        <v>18</v>
      </c>
      <c r="B45" s="19">
        <f>($G$3-53)*2</f>
        <v>14</v>
      </c>
      <c r="C45" s="16" t="s">
        <v>42</v>
      </c>
      <c r="D45" s="33">
        <f t="shared" ref="D45:M45" si="25">D46*$B$12</f>
        <v>278.88</v>
      </c>
      <c r="E45" s="33">
        <f t="shared" si="25"/>
        <v>288.40000000000003</v>
      </c>
      <c r="F45" s="33">
        <f t="shared" si="25"/>
        <v>297.64000000000004</v>
      </c>
      <c r="G45" s="33">
        <f t="shared" si="25"/>
        <v>306.88</v>
      </c>
      <c r="H45" s="33">
        <f t="shared" si="25"/>
        <v>316.26</v>
      </c>
      <c r="I45" s="33">
        <f t="shared" si="25"/>
        <v>325.5</v>
      </c>
      <c r="J45" s="33">
        <f t="shared" si="25"/>
        <v>334.74</v>
      </c>
      <c r="K45" s="33">
        <f t="shared" si="25"/>
        <v>343.98</v>
      </c>
      <c r="L45" s="33">
        <f t="shared" si="25"/>
        <v>353.5</v>
      </c>
      <c r="M45" s="33">
        <f t="shared" si="25"/>
        <v>362.74</v>
      </c>
    </row>
    <row r="46" spans="1:13" x14ac:dyDescent="0.2">
      <c r="A46" s="13"/>
      <c r="B46" s="13"/>
      <c r="C46" s="16" t="s">
        <v>14</v>
      </c>
      <c r="D46" s="17">
        <f t="shared" ref="D46:M46" si="26">IF(ROUND(D44*1.5,2)&lt;$G$149,ROUND(D44*1.5,2),IF($G$149&lt;D44,D44,$G$149))</f>
        <v>19.920000000000002</v>
      </c>
      <c r="E46" s="17">
        <f t="shared" si="26"/>
        <v>20.6</v>
      </c>
      <c r="F46" s="17">
        <f t="shared" si="26"/>
        <v>21.26</v>
      </c>
      <c r="G46" s="17">
        <f t="shared" si="26"/>
        <v>21.92</v>
      </c>
      <c r="H46" s="17">
        <f t="shared" si="26"/>
        <v>22.59</v>
      </c>
      <c r="I46" s="17">
        <f t="shared" si="26"/>
        <v>23.25</v>
      </c>
      <c r="J46" s="17">
        <f t="shared" si="26"/>
        <v>23.91</v>
      </c>
      <c r="K46" s="17">
        <f t="shared" si="26"/>
        <v>24.57</v>
      </c>
      <c r="L46" s="17">
        <f t="shared" si="26"/>
        <v>25.25</v>
      </c>
      <c r="M46" s="17">
        <f t="shared" si="26"/>
        <v>25.91</v>
      </c>
    </row>
    <row r="47" spans="1:13" s="62" customFormat="1" x14ac:dyDescent="0.2">
      <c r="A47" s="61"/>
      <c r="B47" s="61"/>
      <c r="C47" s="32" t="s">
        <v>46</v>
      </c>
      <c r="D47" s="17">
        <f>(ROUND(D42*'Start Page'!$F$48,2)*80)+(ROUND(D44*'Start Page'!$F$48,2)*($B$15-80))</f>
        <v>0</v>
      </c>
      <c r="E47" s="17">
        <f>(ROUND(E42*'Start Page'!$F$48,2)*80)+(ROUND(E44*'Start Page'!$F$48,2)*($B$15-80))</f>
        <v>0</v>
      </c>
      <c r="F47" s="17">
        <f>(ROUND(F42*'Start Page'!$F$48,2)*80)+(ROUND(F44*'Start Page'!$F$48,2)*($B$15-80))</f>
        <v>0</v>
      </c>
      <c r="G47" s="17">
        <f>(ROUND(G42*'Start Page'!$F$48,2)*80)+(ROUND(G44*'Start Page'!$F$48,2)*($B$15-80))</f>
        <v>0</v>
      </c>
      <c r="H47" s="17">
        <f>(ROUND(H42*'Start Page'!$F$48,2)*80)+(ROUND(H44*'Start Page'!$F$48,2)*($B$15-80))</f>
        <v>0</v>
      </c>
      <c r="I47" s="17">
        <f>(ROUND(I42*'Start Page'!$F$48,2)*80)+(ROUND(I44*'Start Page'!$F$48,2)*($B$15-80))</f>
        <v>0</v>
      </c>
      <c r="J47" s="17">
        <f>(ROUND(J42*'Start Page'!$F$48,2)*80)+(ROUND(J44*'Start Page'!$F$48,2)*($B$15-80))</f>
        <v>0</v>
      </c>
      <c r="K47" s="17">
        <f>(ROUND(K42*'Start Page'!$F$48,2)*80)+(ROUND(K44*'Start Page'!$F$48,2)*($B$15-80))</f>
        <v>0</v>
      </c>
      <c r="L47" s="17">
        <f>(ROUND(L42*'Start Page'!$F$48,2)*80)+(ROUND(L44*'Start Page'!$F$48,2)*($B$15-80))</f>
        <v>0</v>
      </c>
      <c r="M47" s="17">
        <f>(ROUND(M42*'Start Page'!$F$48,2)*80)+(ROUND(M44*'Start Page'!$F$48,2)*($B$15-80))</f>
        <v>0</v>
      </c>
    </row>
    <row r="48" spans="1:13" x14ac:dyDescent="0.2">
      <c r="A48" s="13"/>
      <c r="B48" s="13">
        <f>B41+B43+B45</f>
        <v>120</v>
      </c>
      <c r="C48" s="20" t="s">
        <v>17</v>
      </c>
      <c r="D48" s="34">
        <f t="shared" ref="D48:M48" si="27">D41+D43+D45+D47</f>
        <v>2027.3599999999997</v>
      </c>
      <c r="E48" s="34">
        <f t="shared" si="27"/>
        <v>2095.7799999999997</v>
      </c>
      <c r="F48" s="34">
        <f t="shared" si="27"/>
        <v>2162.86</v>
      </c>
      <c r="G48" s="34">
        <f t="shared" si="27"/>
        <v>2230.7400000000002</v>
      </c>
      <c r="H48" s="34">
        <f t="shared" si="27"/>
        <v>2298.2199999999998</v>
      </c>
      <c r="I48" s="34">
        <f t="shared" si="27"/>
        <v>2366.1</v>
      </c>
      <c r="J48" s="34">
        <f t="shared" si="27"/>
        <v>2433.1800000000003</v>
      </c>
      <c r="K48" s="34">
        <f t="shared" si="27"/>
        <v>2501.06</v>
      </c>
      <c r="L48" s="34">
        <f t="shared" si="27"/>
        <v>2568.6799999999998</v>
      </c>
      <c r="M48" s="34">
        <f t="shared" si="27"/>
        <v>2636.5599999999995</v>
      </c>
    </row>
    <row r="49" spans="1:13" x14ac:dyDescent="0.2">
      <c r="A49" s="13"/>
      <c r="B49" s="13"/>
      <c r="C49" s="20" t="s">
        <v>33</v>
      </c>
      <c r="D49" s="34">
        <f>D48*'Start Page'!$C$65</f>
        <v>52711.359999999993</v>
      </c>
      <c r="E49" s="34">
        <f>E48*'Start Page'!$C$65</f>
        <v>54490.279999999992</v>
      </c>
      <c r="F49" s="34">
        <f>F48*'Start Page'!$C$65</f>
        <v>56234.36</v>
      </c>
      <c r="G49" s="34">
        <f>G48*'Start Page'!$C$65</f>
        <v>57999.240000000005</v>
      </c>
      <c r="H49" s="34">
        <f>H48*'Start Page'!$C$65</f>
        <v>59753.719999999994</v>
      </c>
      <c r="I49" s="34">
        <f>I48*'Start Page'!$C$65</f>
        <v>61518.6</v>
      </c>
      <c r="J49" s="34">
        <f>J48*'Start Page'!$C$65</f>
        <v>63262.680000000008</v>
      </c>
      <c r="K49" s="34">
        <f>K48*'Start Page'!$C$65</f>
        <v>65027.56</v>
      </c>
      <c r="L49" s="34">
        <f>L48*'Start Page'!$C$65</f>
        <v>66785.679999999993</v>
      </c>
      <c r="M49" s="34">
        <f>M48*'Start Page'!$C$65</f>
        <v>68550.559999999983</v>
      </c>
    </row>
    <row r="50" spans="1:13" s="36" customFormat="1" x14ac:dyDescent="0.2">
      <c r="A50" s="22"/>
      <c r="B50" s="22"/>
      <c r="C50" s="23" t="s">
        <v>71</v>
      </c>
      <c r="D50" s="35">
        <f>((D42*80)+(D44*($B$15-80)))*'Start Page'!$C$65</f>
        <v>50294.399999999994</v>
      </c>
      <c r="E50" s="35">
        <f>((E42*80)+(E44*($B$15-80)))*'Start Page'!$C$65</f>
        <v>51989.599999999999</v>
      </c>
      <c r="F50" s="35">
        <f>((F42*80)+(F44*($B$15-80)))*'Start Page'!$C$65</f>
        <v>53653.600000000006</v>
      </c>
      <c r="G50" s="35">
        <f>((G42*80)+(G44*($B$15-80)))*'Start Page'!$C$65</f>
        <v>55338.400000000001</v>
      </c>
      <c r="H50" s="35">
        <f>((H42*80)+(H44*($B$15-80)))*'Start Page'!$C$65</f>
        <v>57012.799999999996</v>
      </c>
      <c r="I50" s="35">
        <f>((I42*80)+(I44*($B$15-80)))*'Start Page'!$C$65</f>
        <v>58697.599999999999</v>
      </c>
      <c r="J50" s="35">
        <f>((J42*80)+(J44*($B$15-80)))*'Start Page'!$C$65</f>
        <v>60361.599999999999</v>
      </c>
      <c r="K50" s="35">
        <f>((K42*80)+(K44*($B$15-80)))*'Start Page'!$C$65</f>
        <v>62046.400000000001</v>
      </c>
      <c r="L50" s="35">
        <f>((L42*80)+(L44*($B$15-80)))*'Start Page'!$C$65</f>
        <v>63720.799999999996</v>
      </c>
      <c r="M50" s="121">
        <f>((M42*80)+(M44*($B$15-80)))*'Start Page'!$C$65</f>
        <v>65405.599999999999</v>
      </c>
    </row>
    <row r="51" spans="1:13" x14ac:dyDescent="0.2">
      <c r="A51" s="12" t="s">
        <v>0</v>
      </c>
      <c r="B51" s="12" t="s">
        <v>43</v>
      </c>
      <c r="C51" s="12" t="s">
        <v>1</v>
      </c>
      <c r="D51" s="12" t="s">
        <v>2</v>
      </c>
      <c r="E51" s="12" t="s">
        <v>3</v>
      </c>
      <c r="F51" s="12" t="s">
        <v>4</v>
      </c>
      <c r="G51" s="12" t="s">
        <v>5</v>
      </c>
      <c r="H51" s="12" t="s">
        <v>6</v>
      </c>
      <c r="I51" s="12" t="s">
        <v>7</v>
      </c>
      <c r="J51" s="12" t="s">
        <v>8</v>
      </c>
      <c r="K51" s="12" t="s">
        <v>9</v>
      </c>
      <c r="L51" s="12" t="s">
        <v>10</v>
      </c>
      <c r="M51" s="12" t="s">
        <v>11</v>
      </c>
    </row>
    <row r="52" spans="1:13" x14ac:dyDescent="0.2">
      <c r="A52" s="26"/>
      <c r="B52" s="26"/>
      <c r="C52" s="14" t="s">
        <v>30</v>
      </c>
      <c r="D52" s="118">
        <f>'GS Pay Scale'!B13</f>
        <v>40684</v>
      </c>
      <c r="E52" s="118">
        <f>'GS Pay Scale'!C13</f>
        <v>42041</v>
      </c>
      <c r="F52" s="118">
        <f>'GS Pay Scale'!D13</f>
        <v>43397</v>
      </c>
      <c r="G52" s="118">
        <f>'GS Pay Scale'!E13</f>
        <v>44754</v>
      </c>
      <c r="H52" s="118">
        <f>'GS Pay Scale'!F13</f>
        <v>46110</v>
      </c>
      <c r="I52" s="118">
        <f>'GS Pay Scale'!G13</f>
        <v>47467</v>
      </c>
      <c r="J52" s="118">
        <f>'GS Pay Scale'!H13</f>
        <v>48823</v>
      </c>
      <c r="K52" s="118">
        <f>'GS Pay Scale'!I13</f>
        <v>50180</v>
      </c>
      <c r="L52" s="118">
        <f>'GS Pay Scale'!J13</f>
        <v>51537</v>
      </c>
      <c r="M52" s="118">
        <f>'GS Pay Scale'!K13</f>
        <v>52893</v>
      </c>
    </row>
    <row r="53" spans="1:13" x14ac:dyDescent="0.2">
      <c r="A53" s="13"/>
      <c r="B53" s="13">
        <v>80</v>
      </c>
      <c r="C53" s="32" t="s">
        <v>44</v>
      </c>
      <c r="D53" s="118">
        <f t="shared" ref="D53:M53" si="28">D54*80</f>
        <v>1559.1999999999998</v>
      </c>
      <c r="E53" s="118">
        <f t="shared" si="28"/>
        <v>1611.2</v>
      </c>
      <c r="F53" s="118">
        <f t="shared" si="28"/>
        <v>1663.1999999999998</v>
      </c>
      <c r="G53" s="118">
        <f t="shared" si="28"/>
        <v>1715.2</v>
      </c>
      <c r="H53" s="118">
        <f t="shared" si="28"/>
        <v>1767.2</v>
      </c>
      <c r="I53" s="118">
        <f t="shared" si="28"/>
        <v>1819.1999999999998</v>
      </c>
      <c r="J53" s="118">
        <f t="shared" si="28"/>
        <v>1871.2</v>
      </c>
      <c r="K53" s="118">
        <f t="shared" si="28"/>
        <v>1923.1999999999998</v>
      </c>
      <c r="L53" s="118">
        <f t="shared" si="28"/>
        <v>1975.2</v>
      </c>
      <c r="M53" s="118">
        <f t="shared" si="28"/>
        <v>2027.2</v>
      </c>
    </row>
    <row r="54" spans="1:13" x14ac:dyDescent="0.2">
      <c r="A54" s="13"/>
      <c r="B54" s="13"/>
      <c r="C54" s="32" t="s">
        <v>20</v>
      </c>
      <c r="D54" s="33">
        <f>ROUND(D52/2087,2)</f>
        <v>19.489999999999998</v>
      </c>
      <c r="E54" s="33">
        <f t="shared" ref="E54:M54" si="29">ROUND(E52/2087,2)</f>
        <v>20.14</v>
      </c>
      <c r="F54" s="33">
        <f t="shared" si="29"/>
        <v>20.79</v>
      </c>
      <c r="G54" s="33">
        <f t="shared" si="29"/>
        <v>21.44</v>
      </c>
      <c r="H54" s="33">
        <f t="shared" si="29"/>
        <v>22.09</v>
      </c>
      <c r="I54" s="33">
        <f t="shared" si="29"/>
        <v>22.74</v>
      </c>
      <c r="J54" s="33">
        <f t="shared" si="29"/>
        <v>23.39</v>
      </c>
      <c r="K54" s="33">
        <f t="shared" si="29"/>
        <v>24.04</v>
      </c>
      <c r="L54" s="33">
        <f t="shared" si="29"/>
        <v>24.69</v>
      </c>
      <c r="M54" s="33">
        <f t="shared" si="29"/>
        <v>25.34</v>
      </c>
    </row>
    <row r="55" spans="1:13" x14ac:dyDescent="0.2">
      <c r="A55" s="13"/>
      <c r="B55" s="13">
        <v>26</v>
      </c>
      <c r="C55" s="16" t="s">
        <v>41</v>
      </c>
      <c r="D55" s="33">
        <f t="shared" ref="D55:M55" si="30">D56*26</f>
        <v>383.76</v>
      </c>
      <c r="E55" s="33">
        <f t="shared" si="30"/>
        <v>396.5</v>
      </c>
      <c r="F55" s="33">
        <f t="shared" si="30"/>
        <v>409.5</v>
      </c>
      <c r="G55" s="33">
        <f t="shared" si="30"/>
        <v>422.23999999999995</v>
      </c>
      <c r="H55" s="33">
        <f t="shared" si="30"/>
        <v>434.98</v>
      </c>
      <c r="I55" s="33">
        <f t="shared" si="30"/>
        <v>447.71999999999997</v>
      </c>
      <c r="J55" s="33">
        <f t="shared" si="30"/>
        <v>460.71999999999997</v>
      </c>
      <c r="K55" s="33">
        <f t="shared" si="30"/>
        <v>473.46000000000004</v>
      </c>
      <c r="L55" s="33">
        <f t="shared" si="30"/>
        <v>486.2</v>
      </c>
      <c r="M55" s="33">
        <f t="shared" si="30"/>
        <v>498.94000000000005</v>
      </c>
    </row>
    <row r="56" spans="1:13" x14ac:dyDescent="0.2">
      <c r="A56" s="13"/>
      <c r="B56" s="13"/>
      <c r="C56" s="16" t="s">
        <v>13</v>
      </c>
      <c r="D56" s="33">
        <f>ROUND(D52/2756,2)</f>
        <v>14.76</v>
      </c>
      <c r="E56" s="33">
        <f t="shared" ref="E56:M56" si="31">ROUND(E52/2756,2)</f>
        <v>15.25</v>
      </c>
      <c r="F56" s="33">
        <f t="shared" si="31"/>
        <v>15.75</v>
      </c>
      <c r="G56" s="33">
        <f t="shared" si="31"/>
        <v>16.239999999999998</v>
      </c>
      <c r="H56" s="33">
        <f t="shared" si="31"/>
        <v>16.73</v>
      </c>
      <c r="I56" s="33">
        <f t="shared" si="31"/>
        <v>17.22</v>
      </c>
      <c r="J56" s="33">
        <f t="shared" si="31"/>
        <v>17.72</v>
      </c>
      <c r="K56" s="33">
        <f t="shared" si="31"/>
        <v>18.21</v>
      </c>
      <c r="L56" s="33">
        <f t="shared" si="31"/>
        <v>18.7</v>
      </c>
      <c r="M56" s="33">
        <f t="shared" si="31"/>
        <v>19.190000000000001</v>
      </c>
    </row>
    <row r="57" spans="1:13" x14ac:dyDescent="0.2">
      <c r="A57" s="13" t="s">
        <v>12</v>
      </c>
      <c r="B57" s="19">
        <f>($G$3-53)*2</f>
        <v>14</v>
      </c>
      <c r="C57" s="16" t="s">
        <v>42</v>
      </c>
      <c r="D57" s="33">
        <f t="shared" ref="D57:M57" si="32">D58*$B$12</f>
        <v>309.96000000000004</v>
      </c>
      <c r="E57" s="33">
        <f t="shared" si="32"/>
        <v>320.32</v>
      </c>
      <c r="F57" s="33">
        <f t="shared" si="32"/>
        <v>330.82</v>
      </c>
      <c r="G57" s="33">
        <f t="shared" si="32"/>
        <v>341.03999999999996</v>
      </c>
      <c r="H57" s="33">
        <f t="shared" si="32"/>
        <v>351.40000000000003</v>
      </c>
      <c r="I57" s="33">
        <f t="shared" si="32"/>
        <v>361.62</v>
      </c>
      <c r="J57" s="33">
        <f t="shared" si="32"/>
        <v>372.12</v>
      </c>
      <c r="K57" s="33">
        <f t="shared" si="32"/>
        <v>382.48</v>
      </c>
      <c r="L57" s="33">
        <f t="shared" si="32"/>
        <v>392.7</v>
      </c>
      <c r="M57" s="33">
        <f t="shared" si="32"/>
        <v>403.06</v>
      </c>
    </row>
    <row r="58" spans="1:13" x14ac:dyDescent="0.2">
      <c r="A58" s="13"/>
      <c r="B58" s="13"/>
      <c r="C58" s="16" t="s">
        <v>14</v>
      </c>
      <c r="D58" s="17">
        <f>IF(ROUND(D56*1.5,2)&lt;$G$149,ROUND(D56*1.5,2),IF($G$149&lt;D56,D56,$G$149))</f>
        <v>22.14</v>
      </c>
      <c r="E58" s="17">
        <f t="shared" ref="E58:M58" si="33">IF(ROUND(E56*1.5,2)&lt;$G$149,ROUND(E56*1.5,2),IF($G$149&lt;E56,E56,$G$149))</f>
        <v>22.88</v>
      </c>
      <c r="F58" s="17">
        <f t="shared" si="33"/>
        <v>23.63</v>
      </c>
      <c r="G58" s="17">
        <f t="shared" si="33"/>
        <v>24.36</v>
      </c>
      <c r="H58" s="17">
        <f t="shared" si="33"/>
        <v>25.1</v>
      </c>
      <c r="I58" s="17">
        <f t="shared" si="33"/>
        <v>25.83</v>
      </c>
      <c r="J58" s="17">
        <f t="shared" si="33"/>
        <v>26.58</v>
      </c>
      <c r="K58" s="17">
        <f t="shared" si="33"/>
        <v>27.32</v>
      </c>
      <c r="L58" s="17">
        <f t="shared" si="33"/>
        <v>28.05</v>
      </c>
      <c r="M58" s="17">
        <f t="shared" si="33"/>
        <v>28.79</v>
      </c>
    </row>
    <row r="59" spans="1:13" s="62" customFormat="1" x14ac:dyDescent="0.2">
      <c r="A59" s="61"/>
      <c r="B59" s="61"/>
      <c r="C59" s="32" t="s">
        <v>46</v>
      </c>
      <c r="D59" s="17">
        <f>(ROUND(D54*'Start Page'!$F$48,2)*80)+(ROUND(D56*'Start Page'!$F$48,2)*($B$15-80))</f>
        <v>0</v>
      </c>
      <c r="E59" s="17">
        <f>(ROUND(E54*'Start Page'!$F$48,2)*80)+(ROUND(E56*'Start Page'!$F$48,2)*($B$15-80))</f>
        <v>0</v>
      </c>
      <c r="F59" s="17">
        <f>(ROUND(F54*'Start Page'!$F$48,2)*80)+(ROUND(F56*'Start Page'!$F$48,2)*($B$15-80))</f>
        <v>0</v>
      </c>
      <c r="G59" s="17">
        <f>(ROUND(G54*'Start Page'!$F$48,2)*80)+(ROUND(G56*'Start Page'!$F$48,2)*($B$15-80))</f>
        <v>0</v>
      </c>
      <c r="H59" s="17">
        <f>(ROUND(H54*'Start Page'!$F$48,2)*80)+(ROUND(H56*'Start Page'!$F$48,2)*($B$15-80))</f>
        <v>0</v>
      </c>
      <c r="I59" s="17">
        <f>(ROUND(I54*'Start Page'!$F$48,2)*80)+(ROUND(I56*'Start Page'!$F$48,2)*($B$15-80))</f>
        <v>0</v>
      </c>
      <c r="J59" s="17">
        <f>(ROUND(J54*'Start Page'!$F$48,2)*80)+(ROUND(J56*'Start Page'!$F$48,2)*($B$15-80))</f>
        <v>0</v>
      </c>
      <c r="K59" s="17">
        <f>(ROUND(K54*'Start Page'!$F$48,2)*80)+(ROUND(K56*'Start Page'!$F$48,2)*($B$15-80))</f>
        <v>0</v>
      </c>
      <c r="L59" s="17">
        <f>(ROUND(L54*'Start Page'!$F$48,2)*80)+(ROUND(L56*'Start Page'!$F$48,2)*($B$15-80))</f>
        <v>0</v>
      </c>
      <c r="M59" s="17">
        <f>(ROUND(M54*'Start Page'!$F$48,2)*80)+(ROUND(M56*'Start Page'!$F$48,2)*($B$15-80))</f>
        <v>0</v>
      </c>
    </row>
    <row r="60" spans="1:13" x14ac:dyDescent="0.2">
      <c r="A60" s="13"/>
      <c r="B60" s="13">
        <f>B53+B55+B57</f>
        <v>120</v>
      </c>
      <c r="C60" s="20" t="s">
        <v>17</v>
      </c>
      <c r="D60" s="34">
        <f t="shared" ref="D60:M60" si="34">D53+D55+D57+D59</f>
        <v>2252.92</v>
      </c>
      <c r="E60" s="34">
        <f t="shared" si="34"/>
        <v>2328.02</v>
      </c>
      <c r="F60" s="34">
        <f t="shared" si="34"/>
        <v>2403.52</v>
      </c>
      <c r="G60" s="34">
        <f t="shared" si="34"/>
        <v>2478.48</v>
      </c>
      <c r="H60" s="34">
        <f t="shared" si="34"/>
        <v>2553.5800000000004</v>
      </c>
      <c r="I60" s="34">
        <f t="shared" si="34"/>
        <v>2628.5399999999995</v>
      </c>
      <c r="J60" s="34">
        <f t="shared" si="34"/>
        <v>2704.04</v>
      </c>
      <c r="K60" s="34">
        <f t="shared" si="34"/>
        <v>2779.14</v>
      </c>
      <c r="L60" s="34">
        <f t="shared" si="34"/>
        <v>2854.1</v>
      </c>
      <c r="M60" s="34">
        <f t="shared" si="34"/>
        <v>2929.2000000000003</v>
      </c>
    </row>
    <row r="61" spans="1:13" x14ac:dyDescent="0.2">
      <c r="A61" s="13"/>
      <c r="B61" s="13"/>
      <c r="C61" s="20" t="s">
        <v>33</v>
      </c>
      <c r="D61" s="34">
        <f>D60*'Start Page'!$C$65</f>
        <v>58575.92</v>
      </c>
      <c r="E61" s="34">
        <f>E60*'Start Page'!$C$65</f>
        <v>60528.52</v>
      </c>
      <c r="F61" s="34">
        <f>F60*'Start Page'!$C$65</f>
        <v>62491.519999999997</v>
      </c>
      <c r="G61" s="34">
        <f>G60*'Start Page'!$C$65</f>
        <v>64440.480000000003</v>
      </c>
      <c r="H61" s="34">
        <f>H60*'Start Page'!$C$65</f>
        <v>66393.080000000016</v>
      </c>
      <c r="I61" s="34">
        <f>I60*'Start Page'!$C$65</f>
        <v>68342.039999999994</v>
      </c>
      <c r="J61" s="34">
        <f>J60*'Start Page'!$C$65</f>
        <v>70305.039999999994</v>
      </c>
      <c r="K61" s="34">
        <f>K60*'Start Page'!$C$65</f>
        <v>72257.64</v>
      </c>
      <c r="L61" s="34">
        <f>L60*'Start Page'!$C$65</f>
        <v>74206.599999999991</v>
      </c>
      <c r="M61" s="34">
        <f>M60*'Start Page'!$C$65</f>
        <v>76159.200000000012</v>
      </c>
    </row>
    <row r="62" spans="1:13" s="36" customFormat="1" x14ac:dyDescent="0.2">
      <c r="A62" s="22"/>
      <c r="B62" s="22"/>
      <c r="C62" s="23" t="s">
        <v>71</v>
      </c>
      <c r="D62" s="35">
        <f>((D54*80)+(D56*($B$15-80)))*'Start Page'!$C$65</f>
        <v>55889.599999999999</v>
      </c>
      <c r="E62" s="35">
        <f>((E54*80)+(E56*($B$15-80)))*'Start Page'!$C$65</f>
        <v>57751.199999999997</v>
      </c>
      <c r="F62" s="35">
        <f>((F54*80)+(F56*($B$15-80)))*'Start Page'!$C$65</f>
        <v>59623.199999999997</v>
      </c>
      <c r="G62" s="35">
        <f>((G54*80)+(G56*($B$15-80)))*'Start Page'!$C$65</f>
        <v>61484.800000000003</v>
      </c>
      <c r="H62" s="35">
        <f>((H54*80)+(H56*($B$15-80)))*'Start Page'!$C$65</f>
        <v>63346.400000000001</v>
      </c>
      <c r="I62" s="35">
        <f>((I54*80)+(I56*($B$15-80)))*'Start Page'!$C$65</f>
        <v>65208</v>
      </c>
      <c r="J62" s="35">
        <f>((J54*80)+(J56*($B$15-80)))*'Start Page'!$C$65</f>
        <v>67080</v>
      </c>
      <c r="K62" s="35">
        <f>((K54*80)+(K56*($B$15-80)))*'Start Page'!$C$65</f>
        <v>68941.599999999991</v>
      </c>
      <c r="L62" s="35">
        <f>((L54*80)+(L56*($B$15-80)))*'Start Page'!$C$65</f>
        <v>70803.199999999997</v>
      </c>
      <c r="M62" s="121">
        <f>((M54*80)+(M56*($B$15-80)))*'Start Page'!$C$65</f>
        <v>72664.800000000003</v>
      </c>
    </row>
    <row r="63" spans="1:13" x14ac:dyDescent="0.2">
      <c r="A63" s="26"/>
      <c r="B63" s="26"/>
      <c r="C63" s="14" t="s">
        <v>30</v>
      </c>
      <c r="D63" s="118">
        <f>'GS Pay Scale'!B14</f>
        <v>45056</v>
      </c>
      <c r="E63" s="118">
        <f>'GS Pay Scale'!C14</f>
        <v>46558</v>
      </c>
      <c r="F63" s="118">
        <f>'GS Pay Scale'!D14</f>
        <v>48059</v>
      </c>
      <c r="G63" s="118">
        <f>'GS Pay Scale'!E14</f>
        <v>49561</v>
      </c>
      <c r="H63" s="118">
        <f>'GS Pay Scale'!F14</f>
        <v>51062</v>
      </c>
      <c r="I63" s="118">
        <f>'GS Pay Scale'!G14</f>
        <v>52564</v>
      </c>
      <c r="J63" s="118">
        <f>'GS Pay Scale'!H14</f>
        <v>54066</v>
      </c>
      <c r="K63" s="118">
        <f>'GS Pay Scale'!I14</f>
        <v>55567</v>
      </c>
      <c r="L63" s="118">
        <f>'GS Pay Scale'!J14</f>
        <v>57069</v>
      </c>
      <c r="M63" s="118">
        <f>'GS Pay Scale'!K14</f>
        <v>58570</v>
      </c>
    </row>
    <row r="64" spans="1:13" x14ac:dyDescent="0.2">
      <c r="A64" s="13"/>
      <c r="B64" s="13">
        <v>80</v>
      </c>
      <c r="C64" s="32" t="s">
        <v>44</v>
      </c>
      <c r="D64" s="118">
        <f t="shared" ref="D64:M64" si="35">D65*80</f>
        <v>1727.2</v>
      </c>
      <c r="E64" s="118">
        <f t="shared" si="35"/>
        <v>1784.8</v>
      </c>
      <c r="F64" s="118">
        <f t="shared" si="35"/>
        <v>1842.4</v>
      </c>
      <c r="G64" s="118">
        <f t="shared" si="35"/>
        <v>1900</v>
      </c>
      <c r="H64" s="118">
        <f t="shared" si="35"/>
        <v>1957.6</v>
      </c>
      <c r="I64" s="118">
        <f t="shared" si="35"/>
        <v>2015.2</v>
      </c>
      <c r="J64" s="118">
        <f t="shared" si="35"/>
        <v>2072.8000000000002</v>
      </c>
      <c r="K64" s="118">
        <f t="shared" si="35"/>
        <v>2130.4</v>
      </c>
      <c r="L64" s="118">
        <f t="shared" si="35"/>
        <v>2187.1999999999998</v>
      </c>
      <c r="M64" s="118">
        <f t="shared" si="35"/>
        <v>2244.7999999999997</v>
      </c>
    </row>
    <row r="65" spans="1:13" x14ac:dyDescent="0.2">
      <c r="A65" s="13"/>
      <c r="B65" s="13"/>
      <c r="C65" s="32" t="s">
        <v>20</v>
      </c>
      <c r="D65" s="33">
        <f t="shared" ref="D65:M65" si="36">ROUND(D63/2087,2)</f>
        <v>21.59</v>
      </c>
      <c r="E65" s="33">
        <f t="shared" si="36"/>
        <v>22.31</v>
      </c>
      <c r="F65" s="33">
        <f t="shared" si="36"/>
        <v>23.03</v>
      </c>
      <c r="G65" s="33">
        <f t="shared" si="36"/>
        <v>23.75</v>
      </c>
      <c r="H65" s="33">
        <f t="shared" si="36"/>
        <v>24.47</v>
      </c>
      <c r="I65" s="33">
        <f t="shared" si="36"/>
        <v>25.19</v>
      </c>
      <c r="J65" s="33">
        <f t="shared" si="36"/>
        <v>25.91</v>
      </c>
      <c r="K65" s="33">
        <f t="shared" si="36"/>
        <v>26.63</v>
      </c>
      <c r="L65" s="33">
        <f t="shared" si="36"/>
        <v>27.34</v>
      </c>
      <c r="M65" s="33">
        <f t="shared" si="36"/>
        <v>28.06</v>
      </c>
    </row>
    <row r="66" spans="1:13" x14ac:dyDescent="0.2">
      <c r="A66" s="13"/>
      <c r="B66" s="13">
        <v>26</v>
      </c>
      <c r="C66" s="16" t="s">
        <v>41</v>
      </c>
      <c r="D66" s="33">
        <f t="shared" ref="D66:M66" si="37">D67*26</f>
        <v>425.1</v>
      </c>
      <c r="E66" s="33">
        <f t="shared" si="37"/>
        <v>439.14</v>
      </c>
      <c r="F66" s="33">
        <f t="shared" si="37"/>
        <v>453.44000000000005</v>
      </c>
      <c r="G66" s="33">
        <f t="shared" si="37"/>
        <v>467.48</v>
      </c>
      <c r="H66" s="33">
        <f t="shared" si="37"/>
        <v>481.78000000000003</v>
      </c>
      <c r="I66" s="33">
        <f t="shared" si="37"/>
        <v>495.82</v>
      </c>
      <c r="J66" s="33">
        <f t="shared" si="37"/>
        <v>510.12</v>
      </c>
      <c r="K66" s="33">
        <f t="shared" si="37"/>
        <v>524.16</v>
      </c>
      <c r="L66" s="33">
        <f t="shared" si="37"/>
        <v>538.46</v>
      </c>
      <c r="M66" s="33">
        <f t="shared" si="37"/>
        <v>552.5</v>
      </c>
    </row>
    <row r="67" spans="1:13" x14ac:dyDescent="0.2">
      <c r="A67" s="13"/>
      <c r="B67" s="13"/>
      <c r="C67" s="16" t="s">
        <v>13</v>
      </c>
      <c r="D67" s="33">
        <f t="shared" ref="D67:M67" si="38">ROUND(D63/2756,2)</f>
        <v>16.350000000000001</v>
      </c>
      <c r="E67" s="33">
        <f t="shared" si="38"/>
        <v>16.89</v>
      </c>
      <c r="F67" s="33">
        <f t="shared" si="38"/>
        <v>17.440000000000001</v>
      </c>
      <c r="G67" s="33">
        <f t="shared" si="38"/>
        <v>17.98</v>
      </c>
      <c r="H67" s="33">
        <f t="shared" si="38"/>
        <v>18.53</v>
      </c>
      <c r="I67" s="33">
        <f t="shared" si="38"/>
        <v>19.07</v>
      </c>
      <c r="J67" s="33">
        <f t="shared" si="38"/>
        <v>19.62</v>
      </c>
      <c r="K67" s="33">
        <f t="shared" si="38"/>
        <v>20.16</v>
      </c>
      <c r="L67" s="33">
        <f t="shared" si="38"/>
        <v>20.71</v>
      </c>
      <c r="M67" s="33">
        <f t="shared" si="38"/>
        <v>21.25</v>
      </c>
    </row>
    <row r="68" spans="1:13" x14ac:dyDescent="0.2">
      <c r="A68" s="13" t="s">
        <v>15</v>
      </c>
      <c r="B68" s="19">
        <f>($G$3-53)*2</f>
        <v>14</v>
      </c>
      <c r="C68" s="16" t="s">
        <v>42</v>
      </c>
      <c r="D68" s="33">
        <f t="shared" ref="D68:M68" si="39">D69*$B$12</f>
        <v>343.42</v>
      </c>
      <c r="E68" s="33">
        <f t="shared" si="39"/>
        <v>354.76</v>
      </c>
      <c r="F68" s="33">
        <f t="shared" si="39"/>
        <v>366.24</v>
      </c>
      <c r="G68" s="33">
        <f t="shared" si="39"/>
        <v>377.58</v>
      </c>
      <c r="H68" s="33">
        <f t="shared" si="39"/>
        <v>389.2</v>
      </c>
      <c r="I68" s="33">
        <f t="shared" si="39"/>
        <v>400.53999999999996</v>
      </c>
      <c r="J68" s="33">
        <f t="shared" si="39"/>
        <v>412.02</v>
      </c>
      <c r="K68" s="33">
        <f t="shared" si="39"/>
        <v>423.35999999999996</v>
      </c>
      <c r="L68" s="33">
        <f t="shared" si="39"/>
        <v>434.98</v>
      </c>
      <c r="M68" s="33">
        <f t="shared" si="39"/>
        <v>446.32</v>
      </c>
    </row>
    <row r="69" spans="1:13" x14ac:dyDescent="0.2">
      <c r="A69" s="13"/>
      <c r="B69" s="13"/>
      <c r="C69" s="16" t="s">
        <v>14</v>
      </c>
      <c r="D69" s="17">
        <f t="shared" ref="D69:M69" si="40">IF(ROUND(D67*1.5,2)&lt;$G$149,ROUND(D67*1.5,2),IF($G$149&lt;D67,D67,$G$149))</f>
        <v>24.53</v>
      </c>
      <c r="E69" s="17">
        <f t="shared" si="40"/>
        <v>25.34</v>
      </c>
      <c r="F69" s="17">
        <f t="shared" si="40"/>
        <v>26.16</v>
      </c>
      <c r="G69" s="17">
        <f t="shared" si="40"/>
        <v>26.97</v>
      </c>
      <c r="H69" s="17">
        <f t="shared" si="40"/>
        <v>27.8</v>
      </c>
      <c r="I69" s="17">
        <f t="shared" si="40"/>
        <v>28.61</v>
      </c>
      <c r="J69" s="17">
        <f t="shared" si="40"/>
        <v>29.43</v>
      </c>
      <c r="K69" s="17">
        <f t="shared" si="40"/>
        <v>30.24</v>
      </c>
      <c r="L69" s="17">
        <f t="shared" si="40"/>
        <v>31.07</v>
      </c>
      <c r="M69" s="17">
        <f t="shared" si="40"/>
        <v>31.88</v>
      </c>
    </row>
    <row r="70" spans="1:13" s="62" customFormat="1" x14ac:dyDescent="0.2">
      <c r="A70" s="61"/>
      <c r="B70" s="61"/>
      <c r="C70" s="32" t="s">
        <v>46</v>
      </c>
      <c r="D70" s="17">
        <f>(ROUND(D65*'Start Page'!$F$48,2)*80)+(ROUND(D67*'Start Page'!$F$48,2)*($B$15-80))</f>
        <v>0</v>
      </c>
      <c r="E70" s="17">
        <f>(ROUND(E65*'Start Page'!$F$48,2)*80)+(ROUND(E67*'Start Page'!$F$48,2)*($B$15-80))</f>
        <v>0</v>
      </c>
      <c r="F70" s="17">
        <f>(ROUND(F65*'Start Page'!$F$48,2)*80)+(ROUND(F67*'Start Page'!$F$48,2)*($B$15-80))</f>
        <v>0</v>
      </c>
      <c r="G70" s="17">
        <f>(ROUND(G65*'Start Page'!$F$48,2)*80)+(ROUND(G67*'Start Page'!$F$48,2)*($B$15-80))</f>
        <v>0</v>
      </c>
      <c r="H70" s="17">
        <f>(ROUND(H65*'Start Page'!$F$48,2)*80)+(ROUND(H67*'Start Page'!$F$48,2)*($B$15-80))</f>
        <v>0</v>
      </c>
      <c r="I70" s="17">
        <f>(ROUND(I65*'Start Page'!$F$48,2)*80)+(ROUND(I67*'Start Page'!$F$48,2)*($B$15-80))</f>
        <v>0</v>
      </c>
      <c r="J70" s="17">
        <f>(ROUND(J65*'Start Page'!$F$48,2)*80)+(ROUND(J67*'Start Page'!$F$48,2)*($B$15-80))</f>
        <v>0</v>
      </c>
      <c r="K70" s="17">
        <f>(ROUND(K65*'Start Page'!$F$48,2)*80)+(ROUND(K67*'Start Page'!$F$48,2)*($B$15-80))</f>
        <v>0</v>
      </c>
      <c r="L70" s="17">
        <f>(ROUND(L65*'Start Page'!$F$48,2)*80)+(ROUND(L67*'Start Page'!$F$48,2)*($B$15-80))</f>
        <v>0</v>
      </c>
      <c r="M70" s="17">
        <f>(ROUND(M65*'Start Page'!$F$48,2)*80)+(ROUND(M67*'Start Page'!$F$48,2)*($B$15-80))</f>
        <v>0</v>
      </c>
    </row>
    <row r="71" spans="1:13" x14ac:dyDescent="0.2">
      <c r="A71" s="13"/>
      <c r="B71" s="13">
        <f>B64+B66+B68</f>
        <v>120</v>
      </c>
      <c r="C71" s="20" t="s">
        <v>17</v>
      </c>
      <c r="D71" s="34">
        <f t="shared" ref="D71:M71" si="41">D64+D66+D68+D70</f>
        <v>2495.7200000000003</v>
      </c>
      <c r="E71" s="34">
        <f t="shared" si="41"/>
        <v>2578.6999999999998</v>
      </c>
      <c r="F71" s="34">
        <f t="shared" si="41"/>
        <v>2662.08</v>
      </c>
      <c r="G71" s="34">
        <f t="shared" si="41"/>
        <v>2745.06</v>
      </c>
      <c r="H71" s="34">
        <f t="shared" si="41"/>
        <v>2828.58</v>
      </c>
      <c r="I71" s="34">
        <f t="shared" si="41"/>
        <v>2911.56</v>
      </c>
      <c r="J71" s="34">
        <f t="shared" si="41"/>
        <v>2994.94</v>
      </c>
      <c r="K71" s="34">
        <f t="shared" si="41"/>
        <v>3077.92</v>
      </c>
      <c r="L71" s="34">
        <f t="shared" si="41"/>
        <v>3160.64</v>
      </c>
      <c r="M71" s="34">
        <f t="shared" si="41"/>
        <v>3243.62</v>
      </c>
    </row>
    <row r="72" spans="1:13" x14ac:dyDescent="0.2">
      <c r="A72" s="13"/>
      <c r="B72" s="13"/>
      <c r="C72" s="20" t="s">
        <v>33</v>
      </c>
      <c r="D72" s="34">
        <f>D71*'Start Page'!$C$65</f>
        <v>64888.720000000008</v>
      </c>
      <c r="E72" s="34">
        <f>E71*'Start Page'!$C$65</f>
        <v>67046.2</v>
      </c>
      <c r="F72" s="34">
        <f>F71*'Start Page'!$C$65</f>
        <v>69214.080000000002</v>
      </c>
      <c r="G72" s="34">
        <f>G71*'Start Page'!$C$65</f>
        <v>71371.56</v>
      </c>
      <c r="H72" s="34">
        <f>H71*'Start Page'!$C$65</f>
        <v>73543.08</v>
      </c>
      <c r="I72" s="34">
        <f>I71*'Start Page'!$C$65</f>
        <v>75700.56</v>
      </c>
      <c r="J72" s="34">
        <f>J71*'Start Page'!$C$65</f>
        <v>77868.44</v>
      </c>
      <c r="K72" s="34">
        <f>K71*'Start Page'!$C$65</f>
        <v>80025.919999999998</v>
      </c>
      <c r="L72" s="34">
        <f>L71*'Start Page'!$C$65</f>
        <v>82176.639999999999</v>
      </c>
      <c r="M72" s="34">
        <f>M71*'Start Page'!$C$65</f>
        <v>84334.12</v>
      </c>
    </row>
    <row r="73" spans="1:13" s="36" customFormat="1" x14ac:dyDescent="0.2">
      <c r="A73" s="22"/>
      <c r="B73" s="22"/>
      <c r="C73" s="23" t="s">
        <v>71</v>
      </c>
      <c r="D73" s="35">
        <f>((D65*80)+(D67*($B$15-80)))*'Start Page'!$C$65</f>
        <v>61911.199999999997</v>
      </c>
      <c r="E73" s="35">
        <f>((E65*80)+(E67*($B$15-80)))*'Start Page'!$C$65</f>
        <v>63970.400000000001</v>
      </c>
      <c r="F73" s="35">
        <f>((F65*80)+(F67*($B$15-80)))*'Start Page'!$C$65</f>
        <v>66040</v>
      </c>
      <c r="G73" s="35">
        <f>((G65*80)+(G67*($B$15-80)))*'Start Page'!$C$65</f>
        <v>68099.199999999997</v>
      </c>
      <c r="H73" s="35">
        <f>((H65*80)+(H67*($B$15-80)))*'Start Page'!$C$65</f>
        <v>70168.800000000003</v>
      </c>
      <c r="I73" s="35">
        <f>((I65*80)+(I67*($B$15-80)))*'Start Page'!$C$65</f>
        <v>72228</v>
      </c>
      <c r="J73" s="35">
        <f>((J65*80)+(J67*($B$15-80)))*'Start Page'!$C$65</f>
        <v>74297.600000000006</v>
      </c>
      <c r="K73" s="35">
        <f>((K65*80)+(K67*($B$15-80)))*'Start Page'!$C$65</f>
        <v>76356.800000000003</v>
      </c>
      <c r="L73" s="35">
        <f>((L65*80)+(L67*($B$15-80)))*'Start Page'!$C$65</f>
        <v>78405.599999999991</v>
      </c>
      <c r="M73" s="121">
        <f>((M65*80)+(M67*($B$15-80)))*'Start Page'!$C$65</f>
        <v>80464.799999999988</v>
      </c>
    </row>
    <row r="74" spans="1:13" x14ac:dyDescent="0.2">
      <c r="A74" s="26"/>
      <c r="B74" s="26"/>
      <c r="C74" s="14" t="s">
        <v>30</v>
      </c>
      <c r="D74" s="118">
        <f>'GS Pay Scale'!B15</f>
        <v>49765</v>
      </c>
      <c r="E74" s="118">
        <f>'GS Pay Scale'!C15</f>
        <v>51424</v>
      </c>
      <c r="F74" s="118">
        <f>'GS Pay Scale'!D15</f>
        <v>53083</v>
      </c>
      <c r="G74" s="118">
        <f>'GS Pay Scale'!E15</f>
        <v>54742</v>
      </c>
      <c r="H74" s="118">
        <f>'GS Pay Scale'!F15</f>
        <v>56401</v>
      </c>
      <c r="I74" s="118">
        <f>'GS Pay Scale'!G15</f>
        <v>58060</v>
      </c>
      <c r="J74" s="118">
        <f>'GS Pay Scale'!H15</f>
        <v>59720</v>
      </c>
      <c r="K74" s="118">
        <f>'GS Pay Scale'!I15</f>
        <v>61379</v>
      </c>
      <c r="L74" s="118">
        <f>'GS Pay Scale'!J15</f>
        <v>63038</v>
      </c>
      <c r="M74" s="118">
        <f>'GS Pay Scale'!K15</f>
        <v>64697</v>
      </c>
    </row>
    <row r="75" spans="1:13" x14ac:dyDescent="0.2">
      <c r="A75" s="13"/>
      <c r="B75" s="13">
        <v>80</v>
      </c>
      <c r="C75" s="32" t="s">
        <v>44</v>
      </c>
      <c r="D75" s="118">
        <f t="shared" ref="D75:M75" si="42">D76*80</f>
        <v>1908</v>
      </c>
      <c r="E75" s="118">
        <f t="shared" si="42"/>
        <v>1971.2</v>
      </c>
      <c r="F75" s="118">
        <f t="shared" si="42"/>
        <v>2035.2</v>
      </c>
      <c r="G75" s="118">
        <f t="shared" si="42"/>
        <v>2098.4</v>
      </c>
      <c r="H75" s="118">
        <f t="shared" si="42"/>
        <v>2161.6</v>
      </c>
      <c r="I75" s="118">
        <f t="shared" si="42"/>
        <v>2225.6</v>
      </c>
      <c r="J75" s="118">
        <f t="shared" si="42"/>
        <v>2289.6</v>
      </c>
      <c r="K75" s="118">
        <f t="shared" si="42"/>
        <v>2352.8000000000002</v>
      </c>
      <c r="L75" s="118">
        <f t="shared" si="42"/>
        <v>2416.8000000000002</v>
      </c>
      <c r="M75" s="118">
        <f t="shared" si="42"/>
        <v>2480</v>
      </c>
    </row>
    <row r="76" spans="1:13" x14ac:dyDescent="0.2">
      <c r="A76" s="13"/>
      <c r="B76" s="13"/>
      <c r="C76" s="32" t="s">
        <v>20</v>
      </c>
      <c r="D76" s="33">
        <f t="shared" ref="D76:M76" si="43">ROUND(D74/2087,2)</f>
        <v>23.85</v>
      </c>
      <c r="E76" s="33">
        <f t="shared" si="43"/>
        <v>24.64</v>
      </c>
      <c r="F76" s="33">
        <f t="shared" si="43"/>
        <v>25.44</v>
      </c>
      <c r="G76" s="33">
        <f t="shared" si="43"/>
        <v>26.23</v>
      </c>
      <c r="H76" s="33">
        <f t="shared" si="43"/>
        <v>27.02</v>
      </c>
      <c r="I76" s="33">
        <f t="shared" si="43"/>
        <v>27.82</v>
      </c>
      <c r="J76" s="33">
        <f t="shared" si="43"/>
        <v>28.62</v>
      </c>
      <c r="K76" s="33">
        <f t="shared" si="43"/>
        <v>29.41</v>
      </c>
      <c r="L76" s="33">
        <f t="shared" si="43"/>
        <v>30.21</v>
      </c>
      <c r="M76" s="33">
        <f t="shared" si="43"/>
        <v>31</v>
      </c>
    </row>
    <row r="77" spans="1:13" x14ac:dyDescent="0.2">
      <c r="A77" s="13"/>
      <c r="B77" s="13">
        <v>26</v>
      </c>
      <c r="C77" s="16" t="s">
        <v>41</v>
      </c>
      <c r="D77" s="33">
        <f t="shared" ref="D77:M77" si="44">D78*26</f>
        <v>469.55999999999995</v>
      </c>
      <c r="E77" s="33">
        <f t="shared" si="44"/>
        <v>485.16</v>
      </c>
      <c r="F77" s="33">
        <f t="shared" si="44"/>
        <v>500.76000000000005</v>
      </c>
      <c r="G77" s="33">
        <f t="shared" si="44"/>
        <v>516.36</v>
      </c>
      <c r="H77" s="33">
        <f t="shared" si="44"/>
        <v>531.96</v>
      </c>
      <c r="I77" s="33">
        <f t="shared" si="44"/>
        <v>547.82000000000005</v>
      </c>
      <c r="J77" s="33">
        <f t="shared" si="44"/>
        <v>563.42000000000007</v>
      </c>
      <c r="K77" s="33">
        <f t="shared" si="44"/>
        <v>579.02</v>
      </c>
      <c r="L77" s="33">
        <f t="shared" si="44"/>
        <v>594.62</v>
      </c>
      <c r="M77" s="33">
        <f t="shared" si="44"/>
        <v>610.22</v>
      </c>
    </row>
    <row r="78" spans="1:13" x14ac:dyDescent="0.2">
      <c r="A78" s="13"/>
      <c r="B78" s="13"/>
      <c r="C78" s="16" t="s">
        <v>13</v>
      </c>
      <c r="D78" s="33">
        <f t="shared" ref="D78:M78" si="45">ROUND(D74/2756,2)</f>
        <v>18.059999999999999</v>
      </c>
      <c r="E78" s="33">
        <f t="shared" si="45"/>
        <v>18.66</v>
      </c>
      <c r="F78" s="33">
        <f t="shared" si="45"/>
        <v>19.260000000000002</v>
      </c>
      <c r="G78" s="33">
        <f t="shared" si="45"/>
        <v>19.86</v>
      </c>
      <c r="H78" s="33">
        <f t="shared" si="45"/>
        <v>20.46</v>
      </c>
      <c r="I78" s="33">
        <f t="shared" si="45"/>
        <v>21.07</v>
      </c>
      <c r="J78" s="33">
        <f t="shared" si="45"/>
        <v>21.67</v>
      </c>
      <c r="K78" s="33">
        <f t="shared" si="45"/>
        <v>22.27</v>
      </c>
      <c r="L78" s="33">
        <f t="shared" si="45"/>
        <v>22.87</v>
      </c>
      <c r="M78" s="33">
        <f t="shared" si="45"/>
        <v>23.47</v>
      </c>
    </row>
    <row r="79" spans="1:13" x14ac:dyDescent="0.2">
      <c r="A79" s="13" t="s">
        <v>21</v>
      </c>
      <c r="B79" s="19">
        <f>($G$3-53)*2</f>
        <v>14</v>
      </c>
      <c r="C79" s="16" t="s">
        <v>42</v>
      </c>
      <c r="D79" s="33">
        <f t="shared" ref="D79:M79" si="46">D80*$B$12</f>
        <v>379.26</v>
      </c>
      <c r="E79" s="33">
        <f t="shared" si="46"/>
        <v>391.85999999999996</v>
      </c>
      <c r="F79" s="33">
        <f t="shared" si="46"/>
        <v>404.46000000000004</v>
      </c>
      <c r="G79" s="33">
        <f t="shared" si="46"/>
        <v>417.06</v>
      </c>
      <c r="H79" s="33">
        <f t="shared" si="46"/>
        <v>429.66</v>
      </c>
      <c r="I79" s="33">
        <f t="shared" si="46"/>
        <v>442.53999999999996</v>
      </c>
      <c r="J79" s="33">
        <f t="shared" si="46"/>
        <v>455.14</v>
      </c>
      <c r="K79" s="33">
        <f t="shared" si="46"/>
        <v>467.73999999999995</v>
      </c>
      <c r="L79" s="33">
        <f t="shared" si="46"/>
        <v>480.34000000000003</v>
      </c>
      <c r="M79" s="33">
        <f t="shared" si="46"/>
        <v>492.94</v>
      </c>
    </row>
    <row r="80" spans="1:13" x14ac:dyDescent="0.2">
      <c r="A80" s="13"/>
      <c r="B80" s="13"/>
      <c r="C80" s="16" t="s">
        <v>14</v>
      </c>
      <c r="D80" s="17">
        <f t="shared" ref="D80:M80" si="47">IF(ROUND(D78*1.5,2)&lt;$G$149,ROUND(D78*1.5,2),IF($G$149&lt;D78,D78,$G$149))</f>
        <v>27.09</v>
      </c>
      <c r="E80" s="17">
        <f t="shared" si="47"/>
        <v>27.99</v>
      </c>
      <c r="F80" s="17">
        <f t="shared" si="47"/>
        <v>28.89</v>
      </c>
      <c r="G80" s="17">
        <f t="shared" si="47"/>
        <v>29.79</v>
      </c>
      <c r="H80" s="17">
        <f t="shared" si="47"/>
        <v>30.69</v>
      </c>
      <c r="I80" s="17">
        <f t="shared" si="47"/>
        <v>31.61</v>
      </c>
      <c r="J80" s="17">
        <f t="shared" si="47"/>
        <v>32.51</v>
      </c>
      <c r="K80" s="17">
        <f t="shared" si="47"/>
        <v>33.409999999999997</v>
      </c>
      <c r="L80" s="17">
        <f t="shared" si="47"/>
        <v>34.31</v>
      </c>
      <c r="M80" s="17">
        <f t="shared" si="47"/>
        <v>35.21</v>
      </c>
    </row>
    <row r="81" spans="1:13" s="62" customFormat="1" x14ac:dyDescent="0.2">
      <c r="A81" s="61"/>
      <c r="B81" s="61"/>
      <c r="C81" s="32" t="s">
        <v>46</v>
      </c>
      <c r="D81" s="17">
        <f>(ROUND(D76*'Start Page'!$F$48,2)*80)+(ROUND(D78*'Start Page'!$F$48,2)*($B$15-80))</f>
        <v>0</v>
      </c>
      <c r="E81" s="17">
        <f>(ROUND(E76*'Start Page'!$F$48,2)*80)+(ROUND(E78*'Start Page'!$F$48,2)*($B$15-80))</f>
        <v>0</v>
      </c>
      <c r="F81" s="17">
        <f>(ROUND(F76*'Start Page'!$F$48,2)*80)+(ROUND(F78*'Start Page'!$F$48,2)*($B$15-80))</f>
        <v>0</v>
      </c>
      <c r="G81" s="17">
        <f>(ROUND(G76*'Start Page'!$F$48,2)*80)+(ROUND(G78*'Start Page'!$F$48,2)*($B$15-80))</f>
        <v>0</v>
      </c>
      <c r="H81" s="17">
        <f>(ROUND(H76*'Start Page'!$F$48,2)*80)+(ROUND(H78*'Start Page'!$F$48,2)*($B$15-80))</f>
        <v>0</v>
      </c>
      <c r="I81" s="17">
        <f>(ROUND(I76*'Start Page'!$F$48,2)*80)+(ROUND(I78*'Start Page'!$F$48,2)*($B$15-80))</f>
        <v>0</v>
      </c>
      <c r="J81" s="17">
        <f>(ROUND(J76*'Start Page'!$F$48,2)*80)+(ROUND(J78*'Start Page'!$F$48,2)*($B$15-80))</f>
        <v>0</v>
      </c>
      <c r="K81" s="17">
        <f>(ROUND(K76*'Start Page'!$F$48,2)*80)+(ROUND(K78*'Start Page'!$F$48,2)*($B$15-80))</f>
        <v>0</v>
      </c>
      <c r="L81" s="17">
        <f>(ROUND(L76*'Start Page'!$F$48,2)*80)+(ROUND(L78*'Start Page'!$F$48,2)*($B$15-80))</f>
        <v>0</v>
      </c>
      <c r="M81" s="17">
        <f>(ROUND(M76*'Start Page'!$F$48,2)*80)+(ROUND(M78*'Start Page'!$F$48,2)*($B$15-80))</f>
        <v>0</v>
      </c>
    </row>
    <row r="82" spans="1:13" x14ac:dyDescent="0.2">
      <c r="A82" s="13"/>
      <c r="B82" s="13">
        <f>B75+B77+B79</f>
        <v>120</v>
      </c>
      <c r="C82" s="20" t="s">
        <v>17</v>
      </c>
      <c r="D82" s="34">
        <f t="shared" ref="D82:M82" si="48">D75+D77+D79+D81</f>
        <v>2756.8199999999997</v>
      </c>
      <c r="E82" s="34">
        <f t="shared" si="48"/>
        <v>2848.2200000000003</v>
      </c>
      <c r="F82" s="34">
        <f t="shared" si="48"/>
        <v>2940.42</v>
      </c>
      <c r="G82" s="34">
        <f t="shared" si="48"/>
        <v>3031.82</v>
      </c>
      <c r="H82" s="34">
        <f t="shared" si="48"/>
        <v>3123.22</v>
      </c>
      <c r="I82" s="34">
        <f t="shared" si="48"/>
        <v>3215.96</v>
      </c>
      <c r="J82" s="34">
        <f t="shared" si="48"/>
        <v>3308.16</v>
      </c>
      <c r="K82" s="34">
        <f t="shared" si="48"/>
        <v>3399.56</v>
      </c>
      <c r="L82" s="34">
        <f t="shared" si="48"/>
        <v>3491.76</v>
      </c>
      <c r="M82" s="34">
        <f t="shared" si="48"/>
        <v>3583.1600000000003</v>
      </c>
    </row>
    <row r="83" spans="1:13" x14ac:dyDescent="0.2">
      <c r="A83" s="13"/>
      <c r="B83" s="13"/>
      <c r="C83" s="20" t="s">
        <v>33</v>
      </c>
      <c r="D83" s="34">
        <f>D82*'Start Page'!$C$65</f>
        <v>71677.319999999992</v>
      </c>
      <c r="E83" s="34">
        <f>E82*'Start Page'!$C$65</f>
        <v>74053.72</v>
      </c>
      <c r="F83" s="34">
        <f>F82*'Start Page'!$C$65</f>
        <v>76450.92</v>
      </c>
      <c r="G83" s="34">
        <f>G82*'Start Page'!$C$65</f>
        <v>78827.320000000007</v>
      </c>
      <c r="H83" s="34">
        <f>H82*'Start Page'!$C$65</f>
        <v>81203.72</v>
      </c>
      <c r="I83" s="34">
        <f>I82*'Start Page'!$C$65</f>
        <v>83614.960000000006</v>
      </c>
      <c r="J83" s="34">
        <f>J82*'Start Page'!$C$65</f>
        <v>86012.160000000003</v>
      </c>
      <c r="K83" s="34">
        <f>K82*'Start Page'!$C$65</f>
        <v>88388.56</v>
      </c>
      <c r="L83" s="34">
        <f>L82*'Start Page'!$C$65</f>
        <v>90785.760000000009</v>
      </c>
      <c r="M83" s="34">
        <f>M82*'Start Page'!$C$65</f>
        <v>93162.16</v>
      </c>
    </row>
    <row r="84" spans="1:13" s="36" customFormat="1" x14ac:dyDescent="0.2">
      <c r="A84" s="22"/>
      <c r="B84" s="22"/>
      <c r="C84" s="23" t="s">
        <v>71</v>
      </c>
      <c r="D84" s="35">
        <f>((D76*80)+(D78*($B$15-80)))*'Start Page'!$C$65</f>
        <v>68390.400000000009</v>
      </c>
      <c r="E84" s="35">
        <f>((E76*80)+(E78*($B$15-80)))*'Start Page'!$C$65</f>
        <v>70657.599999999991</v>
      </c>
      <c r="F84" s="35">
        <f>((F76*80)+(F78*($B$15-80)))*'Start Page'!$C$65</f>
        <v>72945.600000000006</v>
      </c>
      <c r="G84" s="35">
        <f>((G76*80)+(G78*($B$15-80)))*'Start Page'!$C$65</f>
        <v>75212.800000000003</v>
      </c>
      <c r="H84" s="35">
        <f>((H76*80)+(H78*($B$15-80)))*'Start Page'!$C$65</f>
        <v>77480</v>
      </c>
      <c r="I84" s="35">
        <f>((I76*80)+(I78*($B$15-80)))*'Start Page'!$C$65</f>
        <v>79778.399999999994</v>
      </c>
      <c r="J84" s="35">
        <f>((J76*80)+(J78*($B$15-80)))*'Start Page'!$C$65</f>
        <v>82066.400000000009</v>
      </c>
      <c r="K84" s="35">
        <f>((K76*80)+(K78*($B$15-80)))*'Start Page'!$C$65</f>
        <v>84333.6</v>
      </c>
      <c r="L84" s="35">
        <f>((L76*80)+(L78*($B$15-80)))*'Start Page'!$C$65</f>
        <v>86621.6</v>
      </c>
      <c r="M84" s="121">
        <f>((M76*80)+(M78*($B$15-80)))*'Start Page'!$C$65</f>
        <v>88888.8</v>
      </c>
    </row>
    <row r="85" spans="1:13" x14ac:dyDescent="0.2">
      <c r="A85" s="26"/>
      <c r="B85" s="26"/>
      <c r="C85" s="14" t="s">
        <v>30</v>
      </c>
      <c r="D85" s="118">
        <f>'GS Pay Scale'!B16</f>
        <v>54803</v>
      </c>
      <c r="E85" s="118">
        <f>'GS Pay Scale'!C16</f>
        <v>56630</v>
      </c>
      <c r="F85" s="118">
        <f>'GS Pay Scale'!D16</f>
        <v>58457</v>
      </c>
      <c r="G85" s="118">
        <f>'GS Pay Scale'!E16</f>
        <v>60285</v>
      </c>
      <c r="H85" s="118">
        <f>'GS Pay Scale'!F16</f>
        <v>62112</v>
      </c>
      <c r="I85" s="118">
        <f>'GS Pay Scale'!G16</f>
        <v>63939</v>
      </c>
      <c r="J85" s="118">
        <f>'GS Pay Scale'!H16</f>
        <v>65766</v>
      </c>
      <c r="K85" s="118">
        <f>'GS Pay Scale'!I16</f>
        <v>67593</v>
      </c>
      <c r="L85" s="118">
        <f>'GS Pay Scale'!J16</f>
        <v>69420</v>
      </c>
      <c r="M85" s="118">
        <f>'GS Pay Scale'!K16</f>
        <v>71247</v>
      </c>
    </row>
    <row r="86" spans="1:13" x14ac:dyDescent="0.2">
      <c r="A86" s="13"/>
      <c r="B86" s="13">
        <v>80</v>
      </c>
      <c r="C86" s="32" t="s">
        <v>44</v>
      </c>
      <c r="D86" s="118">
        <f t="shared" ref="D86:M86" si="49">D87*80</f>
        <v>2100.8000000000002</v>
      </c>
      <c r="E86" s="118">
        <f t="shared" si="49"/>
        <v>2170.4</v>
      </c>
      <c r="F86" s="118">
        <f t="shared" si="49"/>
        <v>2240.8000000000002</v>
      </c>
      <c r="G86" s="118">
        <f t="shared" si="49"/>
        <v>2311.1999999999998</v>
      </c>
      <c r="H86" s="118">
        <f t="shared" si="49"/>
        <v>2380.8000000000002</v>
      </c>
      <c r="I86" s="118">
        <f t="shared" si="49"/>
        <v>2451.1999999999998</v>
      </c>
      <c r="J86" s="118">
        <f t="shared" si="49"/>
        <v>2520.8000000000002</v>
      </c>
      <c r="K86" s="118">
        <f t="shared" si="49"/>
        <v>2591.1999999999998</v>
      </c>
      <c r="L86" s="118">
        <f t="shared" si="49"/>
        <v>2660.7999999999997</v>
      </c>
      <c r="M86" s="118">
        <f t="shared" si="49"/>
        <v>2731.2</v>
      </c>
    </row>
    <row r="87" spans="1:13" x14ac:dyDescent="0.2">
      <c r="A87" s="13"/>
      <c r="B87" s="13"/>
      <c r="C87" s="32" t="s">
        <v>20</v>
      </c>
      <c r="D87" s="33">
        <f t="shared" ref="D87:M87" si="50">ROUND(D85/2087,2)</f>
        <v>26.26</v>
      </c>
      <c r="E87" s="33">
        <f t="shared" si="50"/>
        <v>27.13</v>
      </c>
      <c r="F87" s="33">
        <f t="shared" si="50"/>
        <v>28.01</v>
      </c>
      <c r="G87" s="33">
        <f t="shared" si="50"/>
        <v>28.89</v>
      </c>
      <c r="H87" s="33">
        <f t="shared" si="50"/>
        <v>29.76</v>
      </c>
      <c r="I87" s="33">
        <f t="shared" si="50"/>
        <v>30.64</v>
      </c>
      <c r="J87" s="33">
        <f t="shared" si="50"/>
        <v>31.51</v>
      </c>
      <c r="K87" s="33">
        <f t="shared" si="50"/>
        <v>32.39</v>
      </c>
      <c r="L87" s="33">
        <f t="shared" si="50"/>
        <v>33.26</v>
      </c>
      <c r="M87" s="33">
        <f t="shared" si="50"/>
        <v>34.14</v>
      </c>
    </row>
    <row r="88" spans="1:13" x14ac:dyDescent="0.2">
      <c r="A88" s="13"/>
      <c r="B88" s="13">
        <v>26</v>
      </c>
      <c r="C88" s="16" t="s">
        <v>41</v>
      </c>
      <c r="D88" s="33">
        <f t="shared" ref="D88:M88" si="51">D89*26</f>
        <v>516.88</v>
      </c>
      <c r="E88" s="33">
        <f t="shared" si="51"/>
        <v>534.30000000000007</v>
      </c>
      <c r="F88" s="33">
        <f t="shared" si="51"/>
        <v>551.46</v>
      </c>
      <c r="G88" s="33">
        <f t="shared" si="51"/>
        <v>568.62</v>
      </c>
      <c r="H88" s="33">
        <f t="shared" si="51"/>
        <v>586.04</v>
      </c>
      <c r="I88" s="33">
        <f t="shared" si="51"/>
        <v>603.19999999999993</v>
      </c>
      <c r="J88" s="33">
        <f t="shared" si="51"/>
        <v>620.36</v>
      </c>
      <c r="K88" s="33">
        <f t="shared" si="51"/>
        <v>637.78</v>
      </c>
      <c r="L88" s="33">
        <f t="shared" si="51"/>
        <v>654.94000000000005</v>
      </c>
      <c r="M88" s="33">
        <f t="shared" si="51"/>
        <v>672.1</v>
      </c>
    </row>
    <row r="89" spans="1:13" x14ac:dyDescent="0.2">
      <c r="A89" s="13"/>
      <c r="B89" s="13"/>
      <c r="C89" s="16" t="s">
        <v>13</v>
      </c>
      <c r="D89" s="33">
        <f t="shared" ref="D89:M89" si="52">ROUND(D85/2756,2)</f>
        <v>19.88</v>
      </c>
      <c r="E89" s="33">
        <f t="shared" si="52"/>
        <v>20.55</v>
      </c>
      <c r="F89" s="33">
        <f t="shared" si="52"/>
        <v>21.21</v>
      </c>
      <c r="G89" s="33">
        <f t="shared" si="52"/>
        <v>21.87</v>
      </c>
      <c r="H89" s="33">
        <f t="shared" si="52"/>
        <v>22.54</v>
      </c>
      <c r="I89" s="33">
        <f t="shared" si="52"/>
        <v>23.2</v>
      </c>
      <c r="J89" s="33">
        <f t="shared" si="52"/>
        <v>23.86</v>
      </c>
      <c r="K89" s="33">
        <f t="shared" si="52"/>
        <v>24.53</v>
      </c>
      <c r="L89" s="33">
        <f t="shared" si="52"/>
        <v>25.19</v>
      </c>
      <c r="M89" s="33">
        <f t="shared" si="52"/>
        <v>25.85</v>
      </c>
    </row>
    <row r="90" spans="1:13" x14ac:dyDescent="0.2">
      <c r="A90" s="13" t="s">
        <v>25</v>
      </c>
      <c r="B90" s="19">
        <f>($G$3-53)*2</f>
        <v>14</v>
      </c>
      <c r="C90" s="16" t="s">
        <v>42</v>
      </c>
      <c r="D90" s="33">
        <f t="shared" ref="D90:M90" si="53">D91*$B$12</f>
        <v>417.48</v>
      </c>
      <c r="E90" s="33">
        <f t="shared" si="53"/>
        <v>431.62</v>
      </c>
      <c r="F90" s="33">
        <f t="shared" si="53"/>
        <v>445.48</v>
      </c>
      <c r="G90" s="33">
        <f t="shared" si="53"/>
        <v>459.34000000000003</v>
      </c>
      <c r="H90" s="33">
        <f t="shared" si="53"/>
        <v>473.34000000000003</v>
      </c>
      <c r="I90" s="33">
        <f t="shared" si="53"/>
        <v>487.19999999999993</v>
      </c>
      <c r="J90" s="33">
        <f t="shared" si="53"/>
        <v>501.06</v>
      </c>
      <c r="K90" s="33">
        <f t="shared" si="53"/>
        <v>515.19999999999993</v>
      </c>
      <c r="L90" s="33">
        <f t="shared" si="53"/>
        <v>529.05999999999995</v>
      </c>
      <c r="M90" s="33">
        <f t="shared" si="53"/>
        <v>542.92000000000007</v>
      </c>
    </row>
    <row r="91" spans="1:13" x14ac:dyDescent="0.2">
      <c r="A91" s="13"/>
      <c r="B91" s="13"/>
      <c r="C91" s="16" t="s">
        <v>14</v>
      </c>
      <c r="D91" s="17">
        <f t="shared" ref="D91:M91" si="54">IF(ROUND(D89*1.5,2)&lt;$G$149,ROUND(D89*1.5,2),IF($G$149&lt;D89,D89,$G$149))</f>
        <v>29.82</v>
      </c>
      <c r="E91" s="17">
        <f t="shared" si="54"/>
        <v>30.83</v>
      </c>
      <c r="F91" s="17">
        <f t="shared" si="54"/>
        <v>31.82</v>
      </c>
      <c r="G91" s="17">
        <f t="shared" si="54"/>
        <v>32.81</v>
      </c>
      <c r="H91" s="17">
        <f t="shared" si="54"/>
        <v>33.81</v>
      </c>
      <c r="I91" s="17">
        <f t="shared" si="54"/>
        <v>34.799999999999997</v>
      </c>
      <c r="J91" s="17">
        <f t="shared" si="54"/>
        <v>35.79</v>
      </c>
      <c r="K91" s="17">
        <f t="shared" si="54"/>
        <v>36.799999999999997</v>
      </c>
      <c r="L91" s="17">
        <f t="shared" si="54"/>
        <v>37.79</v>
      </c>
      <c r="M91" s="17">
        <f t="shared" si="54"/>
        <v>38.78</v>
      </c>
    </row>
    <row r="92" spans="1:13" s="62" customFormat="1" x14ac:dyDescent="0.2">
      <c r="A92" s="61"/>
      <c r="B92" s="61"/>
      <c r="C92" s="32" t="s">
        <v>46</v>
      </c>
      <c r="D92" s="17">
        <f>(ROUND(D87*'Start Page'!$F$48,2)*80)+(ROUND(D89*'Start Page'!$F$48,2)*($B$15-80))</f>
        <v>0</v>
      </c>
      <c r="E92" s="17">
        <f>(ROUND(E87*'Start Page'!$F$48,2)*80)+(ROUND(E89*'Start Page'!$F$48,2)*($B$15-80))</f>
        <v>0</v>
      </c>
      <c r="F92" s="17">
        <f>(ROUND(F87*'Start Page'!$F$48,2)*80)+(ROUND(F89*'Start Page'!$F$48,2)*($B$15-80))</f>
        <v>0</v>
      </c>
      <c r="G92" s="17">
        <f>(ROUND(G87*'Start Page'!$F$48,2)*80)+(ROUND(G89*'Start Page'!$F$48,2)*($B$15-80))</f>
        <v>0</v>
      </c>
      <c r="H92" s="17">
        <f>(ROUND(H87*'Start Page'!$F$48,2)*80)+(ROUND(H89*'Start Page'!$F$48,2)*($B$15-80))</f>
        <v>0</v>
      </c>
      <c r="I92" s="17">
        <f>(ROUND(I87*'Start Page'!$F$48,2)*80)+(ROUND(I89*'Start Page'!$F$48,2)*($B$15-80))</f>
        <v>0</v>
      </c>
      <c r="J92" s="17">
        <f>(ROUND(J87*'Start Page'!$F$48,2)*80)+(ROUND(J89*'Start Page'!$F$48,2)*($B$15-80))</f>
        <v>0</v>
      </c>
      <c r="K92" s="17">
        <f>(ROUND(K87*'Start Page'!$F$48,2)*80)+(ROUND(K89*'Start Page'!$F$48,2)*($B$15-80))</f>
        <v>0</v>
      </c>
      <c r="L92" s="17">
        <f>(ROUND(L87*'Start Page'!$F$48,2)*80)+(ROUND(L89*'Start Page'!$F$48,2)*($B$15-80))</f>
        <v>0</v>
      </c>
      <c r="M92" s="17">
        <f>(ROUND(M87*'Start Page'!$F$48,2)*80)+(ROUND(M89*'Start Page'!$F$48,2)*($B$15-80))</f>
        <v>0</v>
      </c>
    </row>
    <row r="93" spans="1:13" x14ac:dyDescent="0.2">
      <c r="A93" s="13"/>
      <c r="B93" s="13">
        <f>B86+B88+B90</f>
        <v>120</v>
      </c>
      <c r="C93" s="20" t="s">
        <v>17</v>
      </c>
      <c r="D93" s="34">
        <f t="shared" ref="D93:M93" si="55">D86+D88+D90+D92</f>
        <v>3035.1600000000003</v>
      </c>
      <c r="E93" s="34">
        <f t="shared" si="55"/>
        <v>3136.32</v>
      </c>
      <c r="F93" s="34">
        <f t="shared" si="55"/>
        <v>3237.7400000000002</v>
      </c>
      <c r="G93" s="34">
        <f t="shared" si="55"/>
        <v>3339.16</v>
      </c>
      <c r="H93" s="34">
        <f t="shared" si="55"/>
        <v>3440.1800000000003</v>
      </c>
      <c r="I93" s="34">
        <f t="shared" si="55"/>
        <v>3541.5999999999995</v>
      </c>
      <c r="J93" s="34">
        <f t="shared" si="55"/>
        <v>3642.2200000000003</v>
      </c>
      <c r="K93" s="34">
        <f t="shared" si="55"/>
        <v>3744.1799999999994</v>
      </c>
      <c r="L93" s="34">
        <f t="shared" si="55"/>
        <v>3844.7999999999997</v>
      </c>
      <c r="M93" s="34">
        <f t="shared" si="55"/>
        <v>3946.22</v>
      </c>
    </row>
    <row r="94" spans="1:13" x14ac:dyDescent="0.2">
      <c r="A94" s="13"/>
      <c r="B94" s="13"/>
      <c r="C94" s="20" t="s">
        <v>33</v>
      </c>
      <c r="D94" s="34">
        <f>D93*'Start Page'!$C$65</f>
        <v>78914.16</v>
      </c>
      <c r="E94" s="34">
        <f>E93*'Start Page'!$C$65</f>
        <v>81544.320000000007</v>
      </c>
      <c r="F94" s="34">
        <f>F93*'Start Page'!$C$65</f>
        <v>84181.24</v>
      </c>
      <c r="G94" s="34">
        <f>G93*'Start Page'!$C$65</f>
        <v>86818.16</v>
      </c>
      <c r="H94" s="34">
        <f>H93*'Start Page'!$C$65</f>
        <v>89444.680000000008</v>
      </c>
      <c r="I94" s="34">
        <f>I93*'Start Page'!$C$65</f>
        <v>92081.599999999991</v>
      </c>
      <c r="J94" s="34">
        <f>J93*'Start Page'!$C$65</f>
        <v>94697.72</v>
      </c>
      <c r="K94" s="34">
        <f>K93*'Start Page'!$C$65</f>
        <v>97348.679999999978</v>
      </c>
      <c r="L94" s="34">
        <f>L93*'Start Page'!$C$65</f>
        <v>99964.799999999988</v>
      </c>
      <c r="M94" s="34">
        <f>M93*'Start Page'!$C$65</f>
        <v>102601.72</v>
      </c>
    </row>
    <row r="95" spans="1:13" s="36" customFormat="1" x14ac:dyDescent="0.2">
      <c r="A95" s="22"/>
      <c r="B95" s="22"/>
      <c r="C95" s="23" t="s">
        <v>71</v>
      </c>
      <c r="D95" s="35">
        <f>((D87*80)+(D89*($B$15-80)))*'Start Page'!$C$65</f>
        <v>75296</v>
      </c>
      <c r="E95" s="35">
        <f>((E87*80)+(E89*($B$15-80)))*'Start Page'!$C$65</f>
        <v>77802.400000000009</v>
      </c>
      <c r="F95" s="35">
        <f>((F87*80)+(F89*($B$15-80)))*'Start Page'!$C$65</f>
        <v>80319.200000000012</v>
      </c>
      <c r="G95" s="35">
        <f>((G87*80)+(G89*($B$15-80)))*'Start Page'!$C$65</f>
        <v>82836</v>
      </c>
      <c r="H95" s="35">
        <f>((H87*80)+(H89*($B$15-80)))*'Start Page'!$C$65</f>
        <v>85342.400000000009</v>
      </c>
      <c r="I95" s="35">
        <f>((I87*80)+(I89*($B$15-80)))*'Start Page'!$C$65</f>
        <v>87859.199999999997</v>
      </c>
      <c r="J95" s="35">
        <f>((J87*80)+(J89*($B$15-80)))*'Start Page'!$C$65</f>
        <v>90355.200000000012</v>
      </c>
      <c r="K95" s="35">
        <f>((K87*80)+(K89*($B$15-80)))*'Start Page'!$C$65</f>
        <v>92882.4</v>
      </c>
      <c r="L95" s="35">
        <f>((L87*80)+(L89*($B$15-80)))*'Start Page'!$C$65</f>
        <v>95378.4</v>
      </c>
      <c r="M95" s="121">
        <f>((M87*80)+(M89*($B$15-80)))*'Start Page'!$C$65</f>
        <v>97895.2</v>
      </c>
    </row>
    <row r="96" spans="1:13" x14ac:dyDescent="0.2">
      <c r="A96" s="12" t="s">
        <v>0</v>
      </c>
      <c r="B96" s="12" t="s">
        <v>43</v>
      </c>
      <c r="C96" s="12" t="s">
        <v>1</v>
      </c>
      <c r="D96" s="12" t="s">
        <v>2</v>
      </c>
      <c r="E96" s="12" t="s">
        <v>3</v>
      </c>
      <c r="F96" s="12" t="s">
        <v>4</v>
      </c>
      <c r="G96" s="12" t="s">
        <v>5</v>
      </c>
      <c r="H96" s="12" t="s">
        <v>6</v>
      </c>
      <c r="I96" s="12" t="s">
        <v>7</v>
      </c>
      <c r="J96" s="12" t="s">
        <v>8</v>
      </c>
      <c r="K96" s="12" t="s">
        <v>9</v>
      </c>
      <c r="L96" s="12" t="s">
        <v>10</v>
      </c>
      <c r="M96" s="12" t="s">
        <v>11</v>
      </c>
    </row>
    <row r="97" spans="1:13" x14ac:dyDescent="0.2">
      <c r="A97" s="26"/>
      <c r="B97" s="26"/>
      <c r="C97" s="14" t="s">
        <v>30</v>
      </c>
      <c r="D97" s="118">
        <f>'GS Pay Scale'!B17</f>
        <v>60210</v>
      </c>
      <c r="E97" s="118">
        <f>'GS Pay Scale'!C17</f>
        <v>62216</v>
      </c>
      <c r="F97" s="118">
        <f>'GS Pay Scale'!D17</f>
        <v>64223</v>
      </c>
      <c r="G97" s="118">
        <f>'GS Pay Scale'!E17</f>
        <v>66230</v>
      </c>
      <c r="H97" s="118">
        <f>'GS Pay Scale'!F17</f>
        <v>68236</v>
      </c>
      <c r="I97" s="118">
        <f>'GS Pay Scale'!G17</f>
        <v>70243</v>
      </c>
      <c r="J97" s="118">
        <f>'GS Pay Scale'!H17</f>
        <v>72250</v>
      </c>
      <c r="K97" s="118">
        <f>'GS Pay Scale'!I17</f>
        <v>74256</v>
      </c>
      <c r="L97" s="118">
        <f>'GS Pay Scale'!J17</f>
        <v>76263</v>
      </c>
      <c r="M97" s="118">
        <f>'GS Pay Scale'!K17</f>
        <v>78270</v>
      </c>
    </row>
    <row r="98" spans="1:13" x14ac:dyDescent="0.2">
      <c r="A98" s="13"/>
      <c r="B98" s="13">
        <v>80</v>
      </c>
      <c r="C98" s="32" t="s">
        <v>44</v>
      </c>
      <c r="D98" s="118">
        <f t="shared" ref="D98:M98" si="56">D99*80</f>
        <v>2308</v>
      </c>
      <c r="E98" s="118">
        <f t="shared" si="56"/>
        <v>2384.7999999999997</v>
      </c>
      <c r="F98" s="118">
        <f t="shared" si="56"/>
        <v>2461.6</v>
      </c>
      <c r="G98" s="118">
        <f t="shared" si="56"/>
        <v>2538.4</v>
      </c>
      <c r="H98" s="118">
        <f t="shared" si="56"/>
        <v>2616</v>
      </c>
      <c r="I98" s="118">
        <f t="shared" si="56"/>
        <v>2692.7999999999997</v>
      </c>
      <c r="J98" s="118">
        <f t="shared" si="56"/>
        <v>2769.6</v>
      </c>
      <c r="K98" s="118">
        <f t="shared" si="56"/>
        <v>2846.3999999999996</v>
      </c>
      <c r="L98" s="118">
        <f t="shared" si="56"/>
        <v>2923.2</v>
      </c>
      <c r="M98" s="118">
        <f t="shared" si="56"/>
        <v>3000</v>
      </c>
    </row>
    <row r="99" spans="1:13" x14ac:dyDescent="0.2">
      <c r="A99" s="13"/>
      <c r="B99" s="13"/>
      <c r="C99" s="32" t="s">
        <v>20</v>
      </c>
      <c r="D99" s="33">
        <f>ROUND(D97/2087,2)</f>
        <v>28.85</v>
      </c>
      <c r="E99" s="33">
        <f t="shared" ref="E99:M99" si="57">ROUND(E97/2087,2)</f>
        <v>29.81</v>
      </c>
      <c r="F99" s="33">
        <f t="shared" si="57"/>
        <v>30.77</v>
      </c>
      <c r="G99" s="33">
        <f t="shared" si="57"/>
        <v>31.73</v>
      </c>
      <c r="H99" s="33">
        <f t="shared" si="57"/>
        <v>32.700000000000003</v>
      </c>
      <c r="I99" s="33">
        <f t="shared" si="57"/>
        <v>33.659999999999997</v>
      </c>
      <c r="J99" s="33">
        <f t="shared" si="57"/>
        <v>34.619999999999997</v>
      </c>
      <c r="K99" s="33">
        <f t="shared" si="57"/>
        <v>35.58</v>
      </c>
      <c r="L99" s="33">
        <f t="shared" si="57"/>
        <v>36.54</v>
      </c>
      <c r="M99" s="33">
        <f t="shared" si="57"/>
        <v>37.5</v>
      </c>
    </row>
    <row r="100" spans="1:13" x14ac:dyDescent="0.2">
      <c r="A100" s="13"/>
      <c r="B100" s="13">
        <v>26</v>
      </c>
      <c r="C100" s="16" t="s">
        <v>41</v>
      </c>
      <c r="D100" s="33">
        <f t="shared" ref="D100:M100" si="58">D101*26</f>
        <v>568.1</v>
      </c>
      <c r="E100" s="33">
        <f t="shared" si="58"/>
        <v>586.82000000000005</v>
      </c>
      <c r="F100" s="33">
        <f t="shared" si="58"/>
        <v>605.80000000000007</v>
      </c>
      <c r="G100" s="33">
        <f t="shared" si="58"/>
        <v>624.78</v>
      </c>
      <c r="H100" s="33">
        <f t="shared" si="58"/>
        <v>643.76</v>
      </c>
      <c r="I100" s="33">
        <f t="shared" si="58"/>
        <v>662.74</v>
      </c>
      <c r="J100" s="33">
        <f t="shared" si="58"/>
        <v>681.72</v>
      </c>
      <c r="K100" s="33">
        <f t="shared" si="58"/>
        <v>700.44</v>
      </c>
      <c r="L100" s="33">
        <f t="shared" si="58"/>
        <v>719.42000000000007</v>
      </c>
      <c r="M100" s="33">
        <f t="shared" si="58"/>
        <v>738.4</v>
      </c>
    </row>
    <row r="101" spans="1:13" x14ac:dyDescent="0.2">
      <c r="A101" s="13"/>
      <c r="B101" s="13"/>
      <c r="C101" s="16" t="s">
        <v>13</v>
      </c>
      <c r="D101" s="33">
        <f>ROUND(D97/2756,2)</f>
        <v>21.85</v>
      </c>
      <c r="E101" s="33">
        <f t="shared" ref="E101:M101" si="59">ROUND(E97/2756,2)</f>
        <v>22.57</v>
      </c>
      <c r="F101" s="33">
        <f t="shared" si="59"/>
        <v>23.3</v>
      </c>
      <c r="G101" s="33">
        <f t="shared" si="59"/>
        <v>24.03</v>
      </c>
      <c r="H101" s="33">
        <f t="shared" si="59"/>
        <v>24.76</v>
      </c>
      <c r="I101" s="33">
        <f t="shared" si="59"/>
        <v>25.49</v>
      </c>
      <c r="J101" s="33">
        <f t="shared" si="59"/>
        <v>26.22</v>
      </c>
      <c r="K101" s="33">
        <f t="shared" si="59"/>
        <v>26.94</v>
      </c>
      <c r="L101" s="33">
        <f t="shared" si="59"/>
        <v>27.67</v>
      </c>
      <c r="M101" s="33">
        <f t="shared" si="59"/>
        <v>28.4</v>
      </c>
    </row>
    <row r="102" spans="1:13" x14ac:dyDescent="0.2">
      <c r="A102" s="13" t="s">
        <v>16</v>
      </c>
      <c r="B102" s="19">
        <f>($G$3-53)*2</f>
        <v>14</v>
      </c>
      <c r="C102" s="16" t="s">
        <v>42</v>
      </c>
      <c r="D102" s="33">
        <f t="shared" ref="D102:M102" si="60">D103*$B$12</f>
        <v>458.92</v>
      </c>
      <c r="E102" s="33">
        <f t="shared" si="60"/>
        <v>474.03999999999996</v>
      </c>
      <c r="F102" s="33">
        <f t="shared" si="60"/>
        <v>489.30000000000007</v>
      </c>
      <c r="G102" s="33">
        <f t="shared" si="60"/>
        <v>504.69999999999993</v>
      </c>
      <c r="H102" s="33">
        <f t="shared" si="60"/>
        <v>519.96</v>
      </c>
      <c r="I102" s="33">
        <f t="shared" si="60"/>
        <v>535.36</v>
      </c>
      <c r="J102" s="33">
        <f t="shared" si="60"/>
        <v>550.62</v>
      </c>
      <c r="K102" s="33">
        <f t="shared" si="60"/>
        <v>551.46</v>
      </c>
      <c r="L102" s="33">
        <f t="shared" si="60"/>
        <v>551.46</v>
      </c>
      <c r="M102" s="33">
        <f t="shared" si="60"/>
        <v>551.46</v>
      </c>
    </row>
    <row r="103" spans="1:13" x14ac:dyDescent="0.2">
      <c r="A103" s="13"/>
      <c r="B103" s="13"/>
      <c r="C103" s="16" t="s">
        <v>14</v>
      </c>
      <c r="D103" s="17">
        <f>IF(ROUND(D101*1.5,2)&lt;$G$149,ROUND(D101*1.5,2),IF($G$149&lt;D101,D101,$G$149))</f>
        <v>32.78</v>
      </c>
      <c r="E103" s="17">
        <f t="shared" ref="E103:M103" si="61">IF(ROUND(E101*1.5,2)&lt;$G$149,ROUND(E101*1.5,2),IF($G$149&lt;E101,E101,$G$149))</f>
        <v>33.86</v>
      </c>
      <c r="F103" s="17">
        <f t="shared" si="61"/>
        <v>34.950000000000003</v>
      </c>
      <c r="G103" s="17">
        <f t="shared" si="61"/>
        <v>36.049999999999997</v>
      </c>
      <c r="H103" s="17">
        <f t="shared" si="61"/>
        <v>37.14</v>
      </c>
      <c r="I103" s="17">
        <f t="shared" si="61"/>
        <v>38.24</v>
      </c>
      <c r="J103" s="17">
        <f t="shared" si="61"/>
        <v>39.33</v>
      </c>
      <c r="K103" s="17">
        <f t="shared" si="61"/>
        <v>39.39</v>
      </c>
      <c r="L103" s="17">
        <f t="shared" si="61"/>
        <v>39.39</v>
      </c>
      <c r="M103" s="17">
        <f t="shared" si="61"/>
        <v>39.39</v>
      </c>
    </row>
    <row r="104" spans="1:13" s="62" customFormat="1" x14ac:dyDescent="0.2">
      <c r="A104" s="61"/>
      <c r="B104" s="61"/>
      <c r="C104" s="32" t="s">
        <v>46</v>
      </c>
      <c r="D104" s="17">
        <f>(ROUND(D99*'Start Page'!$F$48,2)*80)+(ROUND(D101*'Start Page'!$F$48,2)*($B$15-80))</f>
        <v>0</v>
      </c>
      <c r="E104" s="17">
        <f>(ROUND(E99*'Start Page'!$F$48,2)*80)+(ROUND(E101*'Start Page'!$F$48,2)*($B$15-80))</f>
        <v>0</v>
      </c>
      <c r="F104" s="17">
        <f>(ROUND(F99*'Start Page'!$F$48,2)*80)+(ROUND(F101*'Start Page'!$F$48,2)*($B$15-80))</f>
        <v>0</v>
      </c>
      <c r="G104" s="17">
        <f>(ROUND(G99*'Start Page'!$F$48,2)*80)+(ROUND(G101*'Start Page'!$F$48,2)*($B$15-80))</f>
        <v>0</v>
      </c>
      <c r="H104" s="17">
        <f>(ROUND(H99*'Start Page'!$F$48,2)*80)+(ROUND(H101*'Start Page'!$F$48,2)*($B$15-80))</f>
        <v>0</v>
      </c>
      <c r="I104" s="17">
        <f>(ROUND(I99*'Start Page'!$F$48,2)*80)+(ROUND(I101*'Start Page'!$F$48,2)*($B$15-80))</f>
        <v>0</v>
      </c>
      <c r="J104" s="17">
        <f>(ROUND(J99*'Start Page'!$F$48,2)*80)+(ROUND(J101*'Start Page'!$F$48,2)*($B$15-80))</f>
        <v>0</v>
      </c>
      <c r="K104" s="17">
        <f>(ROUND(K99*'Start Page'!$F$48,2)*80)+(ROUND(K101*'Start Page'!$F$48,2)*($B$15-80))</f>
        <v>0</v>
      </c>
      <c r="L104" s="17">
        <f>(ROUND(L99*'Start Page'!$F$48,2)*80)+(ROUND(L101*'Start Page'!$F$48,2)*($B$15-80))</f>
        <v>0</v>
      </c>
      <c r="M104" s="17">
        <f>(ROUND(M99*'Start Page'!$F$48,2)*80)+(ROUND(M101*'Start Page'!$F$48,2)*($B$15-80))</f>
        <v>0</v>
      </c>
    </row>
    <row r="105" spans="1:13" x14ac:dyDescent="0.2">
      <c r="A105" s="13"/>
      <c r="B105" s="13">
        <f>B98+B100+B102</f>
        <v>120</v>
      </c>
      <c r="C105" s="20" t="s">
        <v>17</v>
      </c>
      <c r="D105" s="34">
        <f t="shared" ref="D105:M105" si="62">D98+D100+D102+D104</f>
        <v>3335.02</v>
      </c>
      <c r="E105" s="34">
        <f t="shared" si="62"/>
        <v>3445.66</v>
      </c>
      <c r="F105" s="34">
        <f t="shared" si="62"/>
        <v>3556.7000000000003</v>
      </c>
      <c r="G105" s="34">
        <f t="shared" si="62"/>
        <v>3667.88</v>
      </c>
      <c r="H105" s="34">
        <f t="shared" si="62"/>
        <v>3779.7200000000003</v>
      </c>
      <c r="I105" s="34">
        <f t="shared" si="62"/>
        <v>3890.9</v>
      </c>
      <c r="J105" s="34">
        <f t="shared" si="62"/>
        <v>4001.9399999999996</v>
      </c>
      <c r="K105" s="34">
        <f t="shared" si="62"/>
        <v>4098.2999999999993</v>
      </c>
      <c r="L105" s="34">
        <f t="shared" si="62"/>
        <v>4194.08</v>
      </c>
      <c r="M105" s="34">
        <f t="shared" si="62"/>
        <v>4289.8600000000006</v>
      </c>
    </row>
    <row r="106" spans="1:13" x14ac:dyDescent="0.2">
      <c r="A106" s="13"/>
      <c r="B106" s="13"/>
      <c r="C106" s="20" t="s">
        <v>33</v>
      </c>
      <c r="D106" s="34">
        <f>D105*'Start Page'!$C$65</f>
        <v>86710.52</v>
      </c>
      <c r="E106" s="34">
        <f>E105*'Start Page'!$C$65</f>
        <v>89587.16</v>
      </c>
      <c r="F106" s="34">
        <f>F105*'Start Page'!$C$65</f>
        <v>92474.200000000012</v>
      </c>
      <c r="G106" s="34">
        <f>G105*'Start Page'!$C$65</f>
        <v>95364.88</v>
      </c>
      <c r="H106" s="34">
        <f>H105*'Start Page'!$C$65</f>
        <v>98272.72</v>
      </c>
      <c r="I106" s="34">
        <f>I105*'Start Page'!$C$65</f>
        <v>101163.40000000001</v>
      </c>
      <c r="J106" s="34">
        <f>J105*'Start Page'!$C$65</f>
        <v>104050.43999999999</v>
      </c>
      <c r="K106" s="34">
        <f>K105*'Start Page'!$C$65</f>
        <v>106555.79999999999</v>
      </c>
      <c r="L106" s="34">
        <f>L105*'Start Page'!$C$65</f>
        <v>109046.08</v>
      </c>
      <c r="M106" s="34">
        <f>M105*'Start Page'!$C$65</f>
        <v>111536.36000000002</v>
      </c>
    </row>
    <row r="107" spans="1:13" s="36" customFormat="1" x14ac:dyDescent="0.2">
      <c r="A107" s="22"/>
      <c r="B107" s="22"/>
      <c r="C107" s="23" t="s">
        <v>71</v>
      </c>
      <c r="D107" s="35">
        <f>((D99*80)+(D101*($B$15-80)))*'Start Page'!$C$65</f>
        <v>82732</v>
      </c>
      <c r="E107" s="35">
        <f>((E99*80)+(E101*($B$15-80)))*'Start Page'!$C$65</f>
        <v>85477.599999999991</v>
      </c>
      <c r="F107" s="35">
        <f>((F99*80)+(F101*($B$15-80)))*'Start Page'!$C$65</f>
        <v>88233.599999999991</v>
      </c>
      <c r="G107" s="35">
        <f>((G99*80)+(G101*($B$15-80)))*'Start Page'!$C$65</f>
        <v>90989.6</v>
      </c>
      <c r="H107" s="35">
        <f>((H99*80)+(H101*($B$15-80)))*'Start Page'!$C$65</f>
        <v>93766.400000000009</v>
      </c>
      <c r="I107" s="35">
        <f>((I99*80)+(I101*($B$15-80)))*'Start Page'!$C$65</f>
        <v>96522.4</v>
      </c>
      <c r="J107" s="35">
        <f>((J99*80)+(J101*($B$15-80)))*'Start Page'!$C$65</f>
        <v>99278.399999999994</v>
      </c>
      <c r="K107" s="35">
        <f>((K99*80)+(K101*($B$15-80)))*'Start Page'!$C$65</f>
        <v>102024</v>
      </c>
      <c r="L107" s="35">
        <f>((L99*80)+(L101*($B$15-80)))*'Start Page'!$C$65</f>
        <v>104780</v>
      </c>
      <c r="M107" s="121">
        <f>((M99*80)+(M101*($B$15-80)))*'Start Page'!$C$65</f>
        <v>107536</v>
      </c>
    </row>
    <row r="108" spans="1:13" x14ac:dyDescent="0.2">
      <c r="A108" s="26"/>
      <c r="B108" s="26"/>
      <c r="C108" s="14" t="s">
        <v>30</v>
      </c>
      <c r="D108" s="118">
        <f>'GS Pay Scale'!B18</f>
        <v>72168</v>
      </c>
      <c r="E108" s="118">
        <f>'GS Pay Scale'!C18</f>
        <v>74574</v>
      </c>
      <c r="F108" s="118">
        <f>'GS Pay Scale'!D18</f>
        <v>76980</v>
      </c>
      <c r="G108" s="118">
        <f>'GS Pay Scale'!E18</f>
        <v>79386</v>
      </c>
      <c r="H108" s="118">
        <f>'GS Pay Scale'!F18</f>
        <v>81792</v>
      </c>
      <c r="I108" s="118">
        <f>'GS Pay Scale'!G18</f>
        <v>84197</v>
      </c>
      <c r="J108" s="118">
        <f>'GS Pay Scale'!H18</f>
        <v>86603</v>
      </c>
      <c r="K108" s="118">
        <f>'GS Pay Scale'!I18</f>
        <v>89009</v>
      </c>
      <c r="L108" s="118">
        <f>'GS Pay Scale'!J18</f>
        <v>91415</v>
      </c>
      <c r="M108" s="118">
        <f>'GS Pay Scale'!K18</f>
        <v>93821</v>
      </c>
    </row>
    <row r="109" spans="1:13" x14ac:dyDescent="0.2">
      <c r="A109" s="13"/>
      <c r="B109" s="13">
        <v>80</v>
      </c>
      <c r="C109" s="32" t="s">
        <v>44</v>
      </c>
      <c r="D109" s="118">
        <f t="shared" ref="D109:M109" si="63">D110*80</f>
        <v>2766.3999999999996</v>
      </c>
      <c r="E109" s="118">
        <f t="shared" si="63"/>
        <v>2858.3999999999996</v>
      </c>
      <c r="F109" s="118">
        <f t="shared" si="63"/>
        <v>2951.2</v>
      </c>
      <c r="G109" s="118">
        <f t="shared" si="63"/>
        <v>3043.2</v>
      </c>
      <c r="H109" s="118">
        <f t="shared" si="63"/>
        <v>3135.2</v>
      </c>
      <c r="I109" s="118">
        <f t="shared" si="63"/>
        <v>3227.2000000000003</v>
      </c>
      <c r="J109" s="118">
        <f t="shared" si="63"/>
        <v>3320</v>
      </c>
      <c r="K109" s="118">
        <f t="shared" si="63"/>
        <v>3412</v>
      </c>
      <c r="L109" s="118">
        <f t="shared" si="63"/>
        <v>3504</v>
      </c>
      <c r="M109" s="118">
        <f t="shared" si="63"/>
        <v>3596</v>
      </c>
    </row>
    <row r="110" spans="1:13" x14ac:dyDescent="0.2">
      <c r="A110" s="13"/>
      <c r="B110" s="13"/>
      <c r="C110" s="32" t="s">
        <v>20</v>
      </c>
      <c r="D110" s="33">
        <f t="shared" ref="D110:M110" si="64">ROUND(D108/2087,2)</f>
        <v>34.58</v>
      </c>
      <c r="E110" s="33">
        <f t="shared" si="64"/>
        <v>35.729999999999997</v>
      </c>
      <c r="F110" s="33">
        <f t="shared" si="64"/>
        <v>36.89</v>
      </c>
      <c r="G110" s="33">
        <f t="shared" si="64"/>
        <v>38.04</v>
      </c>
      <c r="H110" s="33">
        <f t="shared" si="64"/>
        <v>39.19</v>
      </c>
      <c r="I110" s="33">
        <f t="shared" si="64"/>
        <v>40.340000000000003</v>
      </c>
      <c r="J110" s="33">
        <f t="shared" si="64"/>
        <v>41.5</v>
      </c>
      <c r="K110" s="33">
        <f t="shared" si="64"/>
        <v>42.65</v>
      </c>
      <c r="L110" s="33">
        <f t="shared" si="64"/>
        <v>43.8</v>
      </c>
      <c r="M110" s="33">
        <f t="shared" si="64"/>
        <v>44.95</v>
      </c>
    </row>
    <row r="111" spans="1:13" x14ac:dyDescent="0.2">
      <c r="A111" s="13"/>
      <c r="B111" s="13">
        <v>26</v>
      </c>
      <c r="C111" s="16" t="s">
        <v>41</v>
      </c>
      <c r="D111" s="33">
        <f t="shared" ref="D111:M111" si="65">D112*26</f>
        <v>680.94</v>
      </c>
      <c r="E111" s="33">
        <f t="shared" si="65"/>
        <v>703.56</v>
      </c>
      <c r="F111" s="33">
        <f t="shared" si="65"/>
        <v>726.18</v>
      </c>
      <c r="G111" s="33">
        <f t="shared" si="65"/>
        <v>748.80000000000007</v>
      </c>
      <c r="H111" s="33">
        <f t="shared" si="65"/>
        <v>771.68</v>
      </c>
      <c r="I111" s="33">
        <f t="shared" si="65"/>
        <v>794.30000000000007</v>
      </c>
      <c r="J111" s="33">
        <f t="shared" si="65"/>
        <v>816.92000000000007</v>
      </c>
      <c r="K111" s="33">
        <f t="shared" si="65"/>
        <v>839.8</v>
      </c>
      <c r="L111" s="33">
        <f t="shared" si="65"/>
        <v>862.42000000000007</v>
      </c>
      <c r="M111" s="33">
        <f t="shared" si="65"/>
        <v>885.04</v>
      </c>
    </row>
    <row r="112" spans="1:13" x14ac:dyDescent="0.2">
      <c r="A112" s="13"/>
      <c r="B112" s="13"/>
      <c r="C112" s="16" t="s">
        <v>13</v>
      </c>
      <c r="D112" s="33">
        <f t="shared" ref="D112:M112" si="66">ROUND(D108/2756,2)</f>
        <v>26.19</v>
      </c>
      <c r="E112" s="33">
        <f t="shared" si="66"/>
        <v>27.06</v>
      </c>
      <c r="F112" s="33">
        <f t="shared" si="66"/>
        <v>27.93</v>
      </c>
      <c r="G112" s="33">
        <f t="shared" si="66"/>
        <v>28.8</v>
      </c>
      <c r="H112" s="33">
        <f t="shared" si="66"/>
        <v>29.68</v>
      </c>
      <c r="I112" s="33">
        <f t="shared" si="66"/>
        <v>30.55</v>
      </c>
      <c r="J112" s="33">
        <f t="shared" si="66"/>
        <v>31.42</v>
      </c>
      <c r="K112" s="33">
        <f t="shared" si="66"/>
        <v>32.299999999999997</v>
      </c>
      <c r="L112" s="33">
        <f t="shared" si="66"/>
        <v>33.17</v>
      </c>
      <c r="M112" s="33">
        <f t="shared" si="66"/>
        <v>34.04</v>
      </c>
    </row>
    <row r="113" spans="1:13" x14ac:dyDescent="0.2">
      <c r="A113" s="13" t="s">
        <v>26</v>
      </c>
      <c r="B113" s="19">
        <f>($G$3-53)*2</f>
        <v>14</v>
      </c>
      <c r="C113" s="16" t="s">
        <v>42</v>
      </c>
      <c r="D113" s="33">
        <f t="shared" ref="D113:M113" si="67">D114*$B$12</f>
        <v>550.05999999999995</v>
      </c>
      <c r="E113" s="33">
        <f t="shared" si="67"/>
        <v>551.46</v>
      </c>
      <c r="F113" s="33">
        <f t="shared" si="67"/>
        <v>551.46</v>
      </c>
      <c r="G113" s="33">
        <f t="shared" si="67"/>
        <v>551.46</v>
      </c>
      <c r="H113" s="33">
        <f t="shared" si="67"/>
        <v>551.46</v>
      </c>
      <c r="I113" s="33">
        <f t="shared" si="67"/>
        <v>551.46</v>
      </c>
      <c r="J113" s="33">
        <f t="shared" si="67"/>
        <v>551.46</v>
      </c>
      <c r="K113" s="33">
        <f t="shared" si="67"/>
        <v>551.46</v>
      </c>
      <c r="L113" s="33">
        <f t="shared" si="67"/>
        <v>551.46</v>
      </c>
      <c r="M113" s="33">
        <f t="shared" si="67"/>
        <v>551.46</v>
      </c>
    </row>
    <row r="114" spans="1:13" x14ac:dyDescent="0.2">
      <c r="A114" s="13"/>
      <c r="B114" s="13"/>
      <c r="C114" s="16" t="s">
        <v>14</v>
      </c>
      <c r="D114" s="17">
        <f t="shared" ref="D114:M114" si="68">IF(ROUND(D112*1.5,2)&lt;$G$149,ROUND(D112*1.5,2),IF($G$149&lt;D112,D112,$G$149))</f>
        <v>39.29</v>
      </c>
      <c r="E114" s="17">
        <f t="shared" si="68"/>
        <v>39.39</v>
      </c>
      <c r="F114" s="17">
        <f t="shared" si="68"/>
        <v>39.39</v>
      </c>
      <c r="G114" s="17">
        <f t="shared" si="68"/>
        <v>39.39</v>
      </c>
      <c r="H114" s="17">
        <f t="shared" si="68"/>
        <v>39.39</v>
      </c>
      <c r="I114" s="17">
        <f t="shared" si="68"/>
        <v>39.39</v>
      </c>
      <c r="J114" s="17">
        <f t="shared" si="68"/>
        <v>39.39</v>
      </c>
      <c r="K114" s="17">
        <f t="shared" si="68"/>
        <v>39.39</v>
      </c>
      <c r="L114" s="17">
        <f t="shared" si="68"/>
        <v>39.39</v>
      </c>
      <c r="M114" s="17">
        <f t="shared" si="68"/>
        <v>39.39</v>
      </c>
    </row>
    <row r="115" spans="1:13" s="62" customFormat="1" x14ac:dyDescent="0.2">
      <c r="A115" s="61"/>
      <c r="B115" s="61"/>
      <c r="C115" s="32" t="s">
        <v>46</v>
      </c>
      <c r="D115" s="17">
        <f>(ROUND(D110*'Start Page'!$F$48,2)*80)+(ROUND(D112*'Start Page'!$F$48,2)*($B$15-80))</f>
        <v>0</v>
      </c>
      <c r="E115" s="17">
        <f>(ROUND(E110*'Start Page'!$F$48,2)*80)+(ROUND(E112*'Start Page'!$F$48,2)*($B$15-80))</f>
        <v>0</v>
      </c>
      <c r="F115" s="17">
        <f>(ROUND(F110*'Start Page'!$F$48,2)*80)+(ROUND(F112*'Start Page'!$F$48,2)*($B$15-80))</f>
        <v>0</v>
      </c>
      <c r="G115" s="17">
        <f>(ROUND(G110*'Start Page'!$F$48,2)*80)+(ROUND(G112*'Start Page'!$F$48,2)*($B$15-80))</f>
        <v>0</v>
      </c>
      <c r="H115" s="17">
        <f>(ROUND(H110*'Start Page'!$F$48,2)*80)+(ROUND(H112*'Start Page'!$F$48,2)*($B$15-80))</f>
        <v>0</v>
      </c>
      <c r="I115" s="17">
        <f>(ROUND(I110*'Start Page'!$F$48,2)*80)+(ROUND(I112*'Start Page'!$F$48,2)*($B$15-80))</f>
        <v>0</v>
      </c>
      <c r="J115" s="17">
        <f>(ROUND(J110*'Start Page'!$F$48,2)*80)+(ROUND(J112*'Start Page'!$F$48,2)*($B$15-80))</f>
        <v>0</v>
      </c>
      <c r="K115" s="17">
        <f>(ROUND(K110*'Start Page'!$F$48,2)*80)+(ROUND(K112*'Start Page'!$F$48,2)*($B$15-80))</f>
        <v>0</v>
      </c>
      <c r="L115" s="17">
        <f>(ROUND(L110*'Start Page'!$F$48,2)*80)+(ROUND(L112*'Start Page'!$F$48,2)*($B$15-80))</f>
        <v>0</v>
      </c>
      <c r="M115" s="17">
        <f>(ROUND(M110*'Start Page'!$F$48,2)*80)+(ROUND(M112*'Start Page'!$F$48,2)*($B$15-80))</f>
        <v>0</v>
      </c>
    </row>
    <row r="116" spans="1:13" x14ac:dyDescent="0.2">
      <c r="A116" s="13"/>
      <c r="B116" s="13">
        <f>B109+B111+B113</f>
        <v>120</v>
      </c>
      <c r="C116" s="20" t="s">
        <v>17</v>
      </c>
      <c r="D116" s="34">
        <f t="shared" ref="D116:M116" si="69">D109+D111+D113+D115</f>
        <v>3997.3999999999996</v>
      </c>
      <c r="E116" s="34">
        <f t="shared" si="69"/>
        <v>4113.42</v>
      </c>
      <c r="F116" s="34">
        <f t="shared" si="69"/>
        <v>4228.84</v>
      </c>
      <c r="G116" s="34">
        <f t="shared" si="69"/>
        <v>4343.46</v>
      </c>
      <c r="H116" s="34">
        <f t="shared" si="69"/>
        <v>4458.34</v>
      </c>
      <c r="I116" s="34">
        <f t="shared" si="69"/>
        <v>4572.9600000000009</v>
      </c>
      <c r="J116" s="34">
        <f t="shared" si="69"/>
        <v>4688.38</v>
      </c>
      <c r="K116" s="34">
        <f t="shared" si="69"/>
        <v>4803.26</v>
      </c>
      <c r="L116" s="34">
        <f t="shared" si="69"/>
        <v>4917.88</v>
      </c>
      <c r="M116" s="34">
        <f t="shared" si="69"/>
        <v>5032.5</v>
      </c>
    </row>
    <row r="117" spans="1:13" x14ac:dyDescent="0.2">
      <c r="A117" s="13"/>
      <c r="B117" s="13"/>
      <c r="C117" s="20" t="s">
        <v>33</v>
      </c>
      <c r="D117" s="34">
        <f>D116*'Start Page'!$C$65</f>
        <v>103932.4</v>
      </c>
      <c r="E117" s="34">
        <f>E116*'Start Page'!$C$65</f>
        <v>106948.92</v>
      </c>
      <c r="F117" s="34">
        <f>F116*'Start Page'!$C$65</f>
        <v>109949.84</v>
      </c>
      <c r="G117" s="34">
        <f>G116*'Start Page'!$C$65</f>
        <v>112929.96</v>
      </c>
      <c r="H117" s="34">
        <f>H116*'Start Page'!$C$65</f>
        <v>115916.84</v>
      </c>
      <c r="I117" s="34">
        <f>I116*'Start Page'!$C$65</f>
        <v>118896.96000000002</v>
      </c>
      <c r="J117" s="34">
        <f>J116*'Start Page'!$C$65</f>
        <v>121897.88</v>
      </c>
      <c r="K117" s="34">
        <f>K116*'Start Page'!$C$65</f>
        <v>124884.76000000001</v>
      </c>
      <c r="L117" s="34">
        <f>L116*'Start Page'!$C$65</f>
        <v>127864.88</v>
      </c>
      <c r="M117" s="34">
        <f>M116*'Start Page'!$C$65</f>
        <v>130845</v>
      </c>
    </row>
    <row r="118" spans="1:13" s="36" customFormat="1" x14ac:dyDescent="0.2">
      <c r="A118" s="22"/>
      <c r="B118" s="22"/>
      <c r="C118" s="23" t="s">
        <v>71</v>
      </c>
      <c r="D118" s="35">
        <f>((D110*80)+(D112*($B$15-80)))*'Start Page'!$C$65</f>
        <v>99164</v>
      </c>
      <c r="E118" s="35">
        <f>((E110*80)+(E112*($B$15-80)))*'Start Page'!$C$65</f>
        <v>102460.79999999999</v>
      </c>
      <c r="F118" s="35">
        <f>((F110*80)+(F112*($B$15-80)))*'Start Page'!$C$65</f>
        <v>105778.4</v>
      </c>
      <c r="G118" s="35">
        <f>((G110*80)+(G112*($B$15-80)))*'Start Page'!$C$65</f>
        <v>109075.2</v>
      </c>
      <c r="H118" s="35">
        <f>((H110*80)+(H112*($B$15-80)))*'Start Page'!$C$65</f>
        <v>112382.39999999999</v>
      </c>
      <c r="I118" s="35">
        <f>((I110*80)+(I112*($B$15-80)))*'Start Page'!$C$65</f>
        <v>115679.20000000001</v>
      </c>
      <c r="J118" s="35">
        <f>((J110*80)+(J112*($B$15-80)))*'Start Page'!$C$65</f>
        <v>118996.8</v>
      </c>
      <c r="K118" s="35">
        <f>((K110*80)+(K112*($B$15-80)))*'Start Page'!$C$65</f>
        <v>122304</v>
      </c>
      <c r="L118" s="35">
        <f>((L110*80)+(L112*($B$15-80)))*'Start Page'!$C$65</f>
        <v>125600.8</v>
      </c>
      <c r="M118" s="121">
        <f>((M110*80)+(M112*($B$15-80)))*'Start Page'!$C$65</f>
        <v>128897.60000000001</v>
      </c>
    </row>
    <row r="119" spans="1:13" s="36" customFormat="1" x14ac:dyDescent="0.2">
      <c r="A119" s="26"/>
      <c r="B119" s="26"/>
      <c r="C119" s="14" t="s">
        <v>30</v>
      </c>
      <c r="D119" s="118">
        <f>'GS Pay Scale'!B19</f>
        <v>85816</v>
      </c>
      <c r="E119" s="118">
        <f>'GS Pay Scale'!C19</f>
        <v>88677</v>
      </c>
      <c r="F119" s="118">
        <f>'GS Pay Scale'!D19</f>
        <v>91537</v>
      </c>
      <c r="G119" s="118">
        <f>'GS Pay Scale'!E19</f>
        <v>94398</v>
      </c>
      <c r="H119" s="118">
        <f>'GS Pay Scale'!F19</f>
        <v>97258</v>
      </c>
      <c r="I119" s="118">
        <f>'GS Pay Scale'!G19</f>
        <v>100118</v>
      </c>
      <c r="J119" s="118">
        <f>'GS Pay Scale'!H19</f>
        <v>102979</v>
      </c>
      <c r="K119" s="118">
        <f>'GS Pay Scale'!I19</f>
        <v>105839</v>
      </c>
      <c r="L119" s="118">
        <f>'GS Pay Scale'!J19</f>
        <v>108699</v>
      </c>
      <c r="M119" s="118">
        <f>'GS Pay Scale'!K19</f>
        <v>111560</v>
      </c>
    </row>
    <row r="120" spans="1:13" s="36" customFormat="1" x14ac:dyDescent="0.2">
      <c r="A120" s="13"/>
      <c r="B120" s="13">
        <v>80</v>
      </c>
      <c r="C120" s="32" t="s">
        <v>44</v>
      </c>
      <c r="D120" s="118">
        <f t="shared" ref="D120:M120" si="70">D121*80</f>
        <v>3289.6</v>
      </c>
      <c r="E120" s="118">
        <f t="shared" si="70"/>
        <v>3399.2000000000003</v>
      </c>
      <c r="F120" s="118">
        <f t="shared" si="70"/>
        <v>3508.8</v>
      </c>
      <c r="G120" s="118">
        <f t="shared" si="70"/>
        <v>3618.3999999999996</v>
      </c>
      <c r="H120" s="118">
        <f t="shared" si="70"/>
        <v>3728</v>
      </c>
      <c r="I120" s="118">
        <f t="shared" si="70"/>
        <v>3837.6</v>
      </c>
      <c r="J120" s="118">
        <f t="shared" si="70"/>
        <v>3947.2000000000003</v>
      </c>
      <c r="K120" s="118">
        <f t="shared" si="70"/>
        <v>4056.8</v>
      </c>
      <c r="L120" s="118">
        <f t="shared" si="70"/>
        <v>4166.3999999999996</v>
      </c>
      <c r="M120" s="118">
        <f t="shared" si="70"/>
        <v>4276</v>
      </c>
    </row>
    <row r="121" spans="1:13" s="36" customFormat="1" x14ac:dyDescent="0.2">
      <c r="A121" s="13"/>
      <c r="B121" s="13"/>
      <c r="C121" s="32" t="s">
        <v>20</v>
      </c>
      <c r="D121" s="33">
        <f t="shared" ref="D121:M121" si="71">ROUND(D119/2087,2)</f>
        <v>41.12</v>
      </c>
      <c r="E121" s="33">
        <f t="shared" si="71"/>
        <v>42.49</v>
      </c>
      <c r="F121" s="33">
        <f t="shared" si="71"/>
        <v>43.86</v>
      </c>
      <c r="G121" s="33">
        <f t="shared" si="71"/>
        <v>45.23</v>
      </c>
      <c r="H121" s="33">
        <f t="shared" si="71"/>
        <v>46.6</v>
      </c>
      <c r="I121" s="33">
        <f t="shared" si="71"/>
        <v>47.97</v>
      </c>
      <c r="J121" s="33">
        <f t="shared" si="71"/>
        <v>49.34</v>
      </c>
      <c r="K121" s="33">
        <f t="shared" si="71"/>
        <v>50.71</v>
      </c>
      <c r="L121" s="33">
        <f t="shared" si="71"/>
        <v>52.08</v>
      </c>
      <c r="M121" s="33">
        <f t="shared" si="71"/>
        <v>53.45</v>
      </c>
    </row>
    <row r="122" spans="1:13" s="36" customFormat="1" x14ac:dyDescent="0.2">
      <c r="A122" s="13"/>
      <c r="B122" s="13">
        <v>26</v>
      </c>
      <c r="C122" s="16" t="s">
        <v>41</v>
      </c>
      <c r="D122" s="33">
        <f t="shared" ref="D122:M122" si="72">D123*26</f>
        <v>809.64</v>
      </c>
      <c r="E122" s="33">
        <f t="shared" si="72"/>
        <v>836.68</v>
      </c>
      <c r="F122" s="33">
        <f t="shared" si="72"/>
        <v>863.46</v>
      </c>
      <c r="G122" s="33">
        <f t="shared" si="72"/>
        <v>890.5</v>
      </c>
      <c r="H122" s="33">
        <f t="shared" si="72"/>
        <v>917.54</v>
      </c>
      <c r="I122" s="33">
        <f t="shared" si="72"/>
        <v>944.57999999999993</v>
      </c>
      <c r="J122" s="33">
        <f t="shared" si="72"/>
        <v>971.61999999999989</v>
      </c>
      <c r="K122" s="33">
        <f t="shared" si="72"/>
        <v>998.4</v>
      </c>
      <c r="L122" s="33">
        <f t="shared" si="72"/>
        <v>1025.44</v>
      </c>
      <c r="M122" s="33">
        <f t="shared" si="72"/>
        <v>1052.48</v>
      </c>
    </row>
    <row r="123" spans="1:13" s="36" customFormat="1" x14ac:dyDescent="0.2">
      <c r="A123" s="13"/>
      <c r="B123" s="13"/>
      <c r="C123" s="16" t="s">
        <v>13</v>
      </c>
      <c r="D123" s="33">
        <f t="shared" ref="D123:M123" si="73">ROUND(D119/2756,2)</f>
        <v>31.14</v>
      </c>
      <c r="E123" s="33">
        <f t="shared" si="73"/>
        <v>32.18</v>
      </c>
      <c r="F123" s="33">
        <f t="shared" si="73"/>
        <v>33.21</v>
      </c>
      <c r="G123" s="33">
        <f t="shared" si="73"/>
        <v>34.25</v>
      </c>
      <c r="H123" s="33">
        <f t="shared" si="73"/>
        <v>35.29</v>
      </c>
      <c r="I123" s="33">
        <f t="shared" si="73"/>
        <v>36.33</v>
      </c>
      <c r="J123" s="33">
        <f t="shared" si="73"/>
        <v>37.369999999999997</v>
      </c>
      <c r="K123" s="33">
        <f t="shared" si="73"/>
        <v>38.4</v>
      </c>
      <c r="L123" s="33">
        <f t="shared" si="73"/>
        <v>39.44</v>
      </c>
      <c r="M123" s="33">
        <f t="shared" si="73"/>
        <v>40.479999999999997</v>
      </c>
    </row>
    <row r="124" spans="1:13" s="36" customFormat="1" x14ac:dyDescent="0.2">
      <c r="A124" s="13" t="s">
        <v>31</v>
      </c>
      <c r="B124" s="19">
        <f>($G$3-53)*2</f>
        <v>14</v>
      </c>
      <c r="C124" s="16" t="s">
        <v>42</v>
      </c>
      <c r="D124" s="33">
        <f t="shared" ref="D124:M124" si="74">D125*$B$12</f>
        <v>551.46</v>
      </c>
      <c r="E124" s="33">
        <f t="shared" si="74"/>
        <v>551.46</v>
      </c>
      <c r="F124" s="33">
        <f t="shared" si="74"/>
        <v>551.46</v>
      </c>
      <c r="G124" s="33">
        <f t="shared" si="74"/>
        <v>551.46</v>
      </c>
      <c r="H124" s="33">
        <f t="shared" si="74"/>
        <v>551.46</v>
      </c>
      <c r="I124" s="33">
        <f t="shared" si="74"/>
        <v>551.46</v>
      </c>
      <c r="J124" s="33">
        <f t="shared" si="74"/>
        <v>551.46</v>
      </c>
      <c r="K124" s="33">
        <f t="shared" si="74"/>
        <v>551.46</v>
      </c>
      <c r="L124" s="33">
        <f t="shared" si="74"/>
        <v>552.16</v>
      </c>
      <c r="M124" s="33">
        <f t="shared" si="74"/>
        <v>566.71999999999991</v>
      </c>
    </row>
    <row r="125" spans="1:13" s="36" customFormat="1" x14ac:dyDescent="0.2">
      <c r="A125" s="13"/>
      <c r="B125" s="13"/>
      <c r="C125" s="16" t="s">
        <v>14</v>
      </c>
      <c r="D125" s="17">
        <f t="shared" ref="D125:M125" si="75">IF(ROUND(D123*1.5,2)&lt;$G$149,ROUND(D123*1.5,2),IF($G$149&lt;D123,D123,$G$149))</f>
        <v>39.39</v>
      </c>
      <c r="E125" s="17">
        <f t="shared" si="75"/>
        <v>39.39</v>
      </c>
      <c r="F125" s="17">
        <f t="shared" si="75"/>
        <v>39.39</v>
      </c>
      <c r="G125" s="17">
        <f t="shared" si="75"/>
        <v>39.39</v>
      </c>
      <c r="H125" s="17">
        <f t="shared" si="75"/>
        <v>39.39</v>
      </c>
      <c r="I125" s="17">
        <f t="shared" si="75"/>
        <v>39.39</v>
      </c>
      <c r="J125" s="17">
        <f t="shared" si="75"/>
        <v>39.39</v>
      </c>
      <c r="K125" s="17">
        <f t="shared" si="75"/>
        <v>39.39</v>
      </c>
      <c r="L125" s="17">
        <f t="shared" si="75"/>
        <v>39.44</v>
      </c>
      <c r="M125" s="17">
        <f t="shared" si="75"/>
        <v>40.479999999999997</v>
      </c>
    </row>
    <row r="126" spans="1:13" s="36" customFormat="1" x14ac:dyDescent="0.2">
      <c r="A126" s="61"/>
      <c r="B126" s="61"/>
      <c r="C126" s="32" t="s">
        <v>46</v>
      </c>
      <c r="D126" s="17">
        <f>(ROUND(D121*'Start Page'!$F$48,2)*80)+(ROUND(D123*'Start Page'!$F$48,2)*($B$15-80))</f>
        <v>0</v>
      </c>
      <c r="E126" s="17">
        <f>(ROUND(E121*'Start Page'!$F$48,2)*80)+(ROUND(E123*'Start Page'!$F$48,2)*($B$15-80))</f>
        <v>0</v>
      </c>
      <c r="F126" s="17">
        <f>(ROUND(F121*'Start Page'!$F$48,2)*80)+(ROUND(F123*'Start Page'!$F$48,2)*($B$15-80))</f>
        <v>0</v>
      </c>
      <c r="G126" s="17">
        <f>(ROUND(G121*'Start Page'!$F$48,2)*80)+(ROUND(G123*'Start Page'!$F$48,2)*($B$15-80))</f>
        <v>0</v>
      </c>
      <c r="H126" s="17">
        <f>(ROUND(H121*'Start Page'!$F$48,2)*80)+(ROUND(H123*'Start Page'!$F$48,2)*($B$15-80))</f>
        <v>0</v>
      </c>
      <c r="I126" s="17">
        <f>(ROUND(I121*'Start Page'!$F$48,2)*80)+(ROUND(I123*'Start Page'!$F$48,2)*($B$15-80))</f>
        <v>0</v>
      </c>
      <c r="J126" s="17">
        <f>(ROUND(J121*'Start Page'!$F$48,2)*80)+(ROUND(J123*'Start Page'!$F$48,2)*($B$15-80))</f>
        <v>0</v>
      </c>
      <c r="K126" s="17">
        <f>(ROUND(K121*'Start Page'!$F$48,2)*80)+(ROUND(K123*'Start Page'!$F$48,2)*($B$15-80))</f>
        <v>0</v>
      </c>
      <c r="L126" s="17">
        <f>(ROUND(L121*'Start Page'!$F$48,2)*80)+(ROUND(L123*'Start Page'!$F$48,2)*($B$15-80))</f>
        <v>0</v>
      </c>
      <c r="M126" s="17">
        <f>(ROUND(M121*'Start Page'!$F$48,2)*80)+(ROUND(M123*'Start Page'!$F$48,2)*($B$15-80))</f>
        <v>0</v>
      </c>
    </row>
    <row r="127" spans="1:13" s="36" customFormat="1" x14ac:dyDescent="0.2">
      <c r="A127" s="13"/>
      <c r="B127" s="13">
        <f>B120+B122+B124</f>
        <v>120</v>
      </c>
      <c r="C127" s="20" t="s">
        <v>17</v>
      </c>
      <c r="D127" s="34">
        <f t="shared" ref="D127:M127" si="76">D120+D122+D124+D126</f>
        <v>4650.7</v>
      </c>
      <c r="E127" s="34">
        <f t="shared" si="76"/>
        <v>4787.34</v>
      </c>
      <c r="F127" s="34">
        <f t="shared" si="76"/>
        <v>4923.72</v>
      </c>
      <c r="G127" s="34">
        <f t="shared" si="76"/>
        <v>5060.3599999999997</v>
      </c>
      <c r="H127" s="34">
        <f t="shared" si="76"/>
        <v>5197</v>
      </c>
      <c r="I127" s="34">
        <f t="shared" si="76"/>
        <v>5333.64</v>
      </c>
      <c r="J127" s="34">
        <f t="shared" si="76"/>
        <v>5470.28</v>
      </c>
      <c r="K127" s="34">
        <f t="shared" si="76"/>
        <v>5606.66</v>
      </c>
      <c r="L127" s="34">
        <f t="shared" si="76"/>
        <v>5744</v>
      </c>
      <c r="M127" s="34">
        <f t="shared" si="76"/>
        <v>5895.2</v>
      </c>
    </row>
    <row r="128" spans="1:13" s="36" customFormat="1" x14ac:dyDescent="0.2">
      <c r="A128" s="13"/>
      <c r="B128" s="13"/>
      <c r="C128" s="20" t="s">
        <v>33</v>
      </c>
      <c r="D128" s="34">
        <f>D127*'Start Page'!$C$65</f>
        <v>120918.2</v>
      </c>
      <c r="E128" s="34">
        <f>E127*'Start Page'!$C$65</f>
        <v>124470.84</v>
      </c>
      <c r="F128" s="34">
        <f>F127*'Start Page'!$C$65</f>
        <v>128016.72</v>
      </c>
      <c r="G128" s="34">
        <f>G127*'Start Page'!$C$65</f>
        <v>131569.35999999999</v>
      </c>
      <c r="H128" s="34">
        <f>H127*'Start Page'!$C$65</f>
        <v>135122</v>
      </c>
      <c r="I128" s="34">
        <f>I127*'Start Page'!$C$65</f>
        <v>138674.64000000001</v>
      </c>
      <c r="J128" s="34">
        <f>J127*'Start Page'!$C$65</f>
        <v>142227.28</v>
      </c>
      <c r="K128" s="34">
        <f>K127*'Start Page'!$C$65</f>
        <v>145773.16</v>
      </c>
      <c r="L128" s="34">
        <f>L127*'Start Page'!$C$65</f>
        <v>149344</v>
      </c>
      <c r="M128" s="34">
        <f>M127*'Start Page'!$C$65</f>
        <v>153275.19999999998</v>
      </c>
    </row>
    <row r="129" spans="1:13" s="36" customFormat="1" x14ac:dyDescent="0.2">
      <c r="A129" s="22"/>
      <c r="B129" s="22"/>
      <c r="C129" s="23" t="s">
        <v>71</v>
      </c>
      <c r="D129" s="35">
        <f>((D121*80)+(D123*($B$15-80)))*'Start Page'!$C$65</f>
        <v>117915.2</v>
      </c>
      <c r="E129" s="35">
        <f>((E121*80)+(E123*($B$15-80)))*'Start Page'!$C$65</f>
        <v>121846.40000000001</v>
      </c>
      <c r="F129" s="35">
        <f>((F121*80)+(F123*($B$15-80)))*'Start Page'!$C$65</f>
        <v>125767.20000000001</v>
      </c>
      <c r="G129" s="35">
        <f>((G121*80)+(G123*($B$15-80)))*'Start Page'!$C$65</f>
        <v>129698.4</v>
      </c>
      <c r="H129" s="35">
        <f>((H121*80)+(H123*($B$15-80)))*'Start Page'!$C$65</f>
        <v>133629.6</v>
      </c>
      <c r="I129" s="35">
        <f>((I121*80)+(I123*($B$15-80)))*'Start Page'!$C$65</f>
        <v>137560.79999999999</v>
      </c>
      <c r="J129" s="35">
        <f>((J121*80)+(J123*($B$15-80)))*'Start Page'!$C$65</f>
        <v>141492</v>
      </c>
      <c r="K129" s="35">
        <f>((K121*80)+(K123*($B$15-80)))*'Start Page'!$C$65</f>
        <v>145412.80000000002</v>
      </c>
      <c r="L129" s="35">
        <f>((L121*80)+(L123*($B$15-80)))*'Start Page'!$C$65</f>
        <v>149344</v>
      </c>
      <c r="M129" s="121">
        <f>((M121*80)+(M123*($B$15-80)))*'Start Page'!$C$65</f>
        <v>153275.19999999998</v>
      </c>
    </row>
    <row r="130" spans="1:13" x14ac:dyDescent="0.2">
      <c r="A130" s="26"/>
      <c r="B130" s="26"/>
      <c r="C130" s="14" t="s">
        <v>30</v>
      </c>
      <c r="D130" s="118">
        <f>'GS Pay Scale'!B20</f>
        <v>101409</v>
      </c>
      <c r="E130" s="118">
        <f>'GS Pay Scale'!C20</f>
        <v>104790</v>
      </c>
      <c r="F130" s="118">
        <f>'GS Pay Scale'!D20</f>
        <v>108170</v>
      </c>
      <c r="G130" s="118">
        <f>'GS Pay Scale'!E20</f>
        <v>111551</v>
      </c>
      <c r="H130" s="118">
        <f>'GS Pay Scale'!F20</f>
        <v>114931</v>
      </c>
      <c r="I130" s="118">
        <f>'GS Pay Scale'!G20</f>
        <v>118312</v>
      </c>
      <c r="J130" s="118">
        <f>'GS Pay Scale'!H20</f>
        <v>121692</v>
      </c>
      <c r="K130" s="118">
        <f>'GS Pay Scale'!I20</f>
        <v>125073</v>
      </c>
      <c r="L130" s="118">
        <f>'GS Pay Scale'!J20</f>
        <v>128453</v>
      </c>
      <c r="M130" s="118">
        <f>'GS Pay Scale'!K20</f>
        <v>131833</v>
      </c>
    </row>
    <row r="131" spans="1:13" x14ac:dyDescent="0.2">
      <c r="A131" s="13"/>
      <c r="B131" s="13">
        <v>80</v>
      </c>
      <c r="C131" s="32" t="s">
        <v>44</v>
      </c>
      <c r="D131" s="118">
        <f t="shared" ref="D131:M131" si="77">D132*80</f>
        <v>3887.2000000000003</v>
      </c>
      <c r="E131" s="118">
        <f t="shared" si="77"/>
        <v>4016.8</v>
      </c>
      <c r="F131" s="118">
        <f t="shared" si="77"/>
        <v>4146.3999999999996</v>
      </c>
      <c r="G131" s="118">
        <f t="shared" si="77"/>
        <v>4276</v>
      </c>
      <c r="H131" s="118">
        <f t="shared" si="77"/>
        <v>4405.6000000000004</v>
      </c>
      <c r="I131" s="118">
        <f t="shared" si="77"/>
        <v>4535.2</v>
      </c>
      <c r="J131" s="118">
        <f t="shared" si="77"/>
        <v>4664.8</v>
      </c>
      <c r="K131" s="118">
        <f t="shared" si="77"/>
        <v>4794.3999999999996</v>
      </c>
      <c r="L131" s="118">
        <f t="shared" si="77"/>
        <v>4924</v>
      </c>
      <c r="M131" s="118">
        <f t="shared" si="77"/>
        <v>5053.6000000000004</v>
      </c>
    </row>
    <row r="132" spans="1:13" x14ac:dyDescent="0.2">
      <c r="A132" s="13"/>
      <c r="B132" s="13"/>
      <c r="C132" s="32" t="s">
        <v>20</v>
      </c>
      <c r="D132" s="33">
        <f t="shared" ref="D132:M132" si="78">ROUND(D130/2087,2)</f>
        <v>48.59</v>
      </c>
      <c r="E132" s="33">
        <f t="shared" si="78"/>
        <v>50.21</v>
      </c>
      <c r="F132" s="33">
        <f t="shared" si="78"/>
        <v>51.83</v>
      </c>
      <c r="G132" s="33">
        <f t="shared" si="78"/>
        <v>53.45</v>
      </c>
      <c r="H132" s="33">
        <f t="shared" si="78"/>
        <v>55.07</v>
      </c>
      <c r="I132" s="33">
        <f t="shared" si="78"/>
        <v>56.69</v>
      </c>
      <c r="J132" s="33">
        <f t="shared" si="78"/>
        <v>58.31</v>
      </c>
      <c r="K132" s="33">
        <f t="shared" si="78"/>
        <v>59.93</v>
      </c>
      <c r="L132" s="33">
        <f t="shared" si="78"/>
        <v>61.55</v>
      </c>
      <c r="M132" s="33">
        <f t="shared" si="78"/>
        <v>63.17</v>
      </c>
    </row>
    <row r="133" spans="1:13" x14ac:dyDescent="0.2">
      <c r="A133" s="13"/>
      <c r="B133" s="13">
        <v>26</v>
      </c>
      <c r="C133" s="16" t="s">
        <v>41</v>
      </c>
      <c r="D133" s="33">
        <f t="shared" ref="D133:M133" si="79">D134*26</f>
        <v>956.8</v>
      </c>
      <c r="E133" s="33">
        <f t="shared" si="79"/>
        <v>988.5200000000001</v>
      </c>
      <c r="F133" s="33">
        <f t="shared" si="79"/>
        <v>1020.5</v>
      </c>
      <c r="G133" s="33">
        <f t="shared" si="79"/>
        <v>1052.48</v>
      </c>
      <c r="H133" s="33">
        <f t="shared" si="79"/>
        <v>1084.2</v>
      </c>
      <c r="I133" s="33">
        <f t="shared" si="79"/>
        <v>1116.18</v>
      </c>
      <c r="J133" s="33">
        <f t="shared" si="79"/>
        <v>1148.1599999999999</v>
      </c>
      <c r="K133" s="33">
        <f t="shared" si="79"/>
        <v>1179.8800000000001</v>
      </c>
      <c r="L133" s="33">
        <f t="shared" si="79"/>
        <v>1211.8599999999999</v>
      </c>
      <c r="M133" s="33">
        <f t="shared" si="79"/>
        <v>1243.58</v>
      </c>
    </row>
    <row r="134" spans="1:13" x14ac:dyDescent="0.2">
      <c r="A134" s="13"/>
      <c r="B134" s="13"/>
      <c r="C134" s="16" t="s">
        <v>13</v>
      </c>
      <c r="D134" s="33">
        <f t="shared" ref="D134:M134" si="80">ROUND(D130/2756,2)</f>
        <v>36.799999999999997</v>
      </c>
      <c r="E134" s="33">
        <f t="shared" si="80"/>
        <v>38.020000000000003</v>
      </c>
      <c r="F134" s="33">
        <f t="shared" si="80"/>
        <v>39.25</v>
      </c>
      <c r="G134" s="33">
        <f t="shared" si="80"/>
        <v>40.479999999999997</v>
      </c>
      <c r="H134" s="33">
        <f t="shared" si="80"/>
        <v>41.7</v>
      </c>
      <c r="I134" s="33">
        <f t="shared" si="80"/>
        <v>42.93</v>
      </c>
      <c r="J134" s="33">
        <f t="shared" si="80"/>
        <v>44.16</v>
      </c>
      <c r="K134" s="33">
        <f t="shared" si="80"/>
        <v>45.38</v>
      </c>
      <c r="L134" s="33">
        <f t="shared" si="80"/>
        <v>46.61</v>
      </c>
      <c r="M134" s="33">
        <f t="shared" si="80"/>
        <v>47.83</v>
      </c>
    </row>
    <row r="135" spans="1:13" x14ac:dyDescent="0.2">
      <c r="A135" s="13" t="s">
        <v>120</v>
      </c>
      <c r="B135" s="19">
        <f>($G$3-53)*2</f>
        <v>14</v>
      </c>
      <c r="C135" s="16" t="s">
        <v>42</v>
      </c>
      <c r="D135" s="33">
        <f t="shared" ref="D135:M135" si="81">D136*$B$12</f>
        <v>551.46</v>
      </c>
      <c r="E135" s="33">
        <f t="shared" si="81"/>
        <v>551.46</v>
      </c>
      <c r="F135" s="33">
        <f t="shared" si="81"/>
        <v>551.46</v>
      </c>
      <c r="G135" s="33">
        <f t="shared" si="81"/>
        <v>566.71999999999991</v>
      </c>
      <c r="H135" s="33">
        <f t="shared" si="81"/>
        <v>583.80000000000007</v>
      </c>
      <c r="I135" s="33">
        <f t="shared" si="81"/>
        <v>601.02</v>
      </c>
      <c r="J135" s="33">
        <f t="shared" si="81"/>
        <v>618.24</v>
      </c>
      <c r="K135" s="33">
        <f t="shared" si="81"/>
        <v>635.32000000000005</v>
      </c>
      <c r="L135" s="33">
        <f t="shared" si="81"/>
        <v>652.54</v>
      </c>
      <c r="M135" s="33">
        <f t="shared" si="81"/>
        <v>669.62</v>
      </c>
    </row>
    <row r="136" spans="1:13" x14ac:dyDescent="0.2">
      <c r="A136" s="13"/>
      <c r="B136" s="13"/>
      <c r="C136" s="16" t="s">
        <v>14</v>
      </c>
      <c r="D136" s="17">
        <f t="shared" ref="D136:M136" si="82">IF(ROUND(D134*1.5,2)&lt;$G$149,ROUND(D134*1.5,2),IF($G$149&lt;D134,D134,$G$149))</f>
        <v>39.39</v>
      </c>
      <c r="E136" s="17">
        <f t="shared" si="82"/>
        <v>39.39</v>
      </c>
      <c r="F136" s="17">
        <f t="shared" si="82"/>
        <v>39.39</v>
      </c>
      <c r="G136" s="17">
        <f t="shared" si="82"/>
        <v>40.479999999999997</v>
      </c>
      <c r="H136" s="17">
        <f t="shared" si="82"/>
        <v>41.7</v>
      </c>
      <c r="I136" s="17">
        <f t="shared" si="82"/>
        <v>42.93</v>
      </c>
      <c r="J136" s="17">
        <f t="shared" si="82"/>
        <v>44.16</v>
      </c>
      <c r="K136" s="17">
        <f t="shared" si="82"/>
        <v>45.38</v>
      </c>
      <c r="L136" s="17">
        <f t="shared" si="82"/>
        <v>46.61</v>
      </c>
      <c r="M136" s="17">
        <f t="shared" si="82"/>
        <v>47.83</v>
      </c>
    </row>
    <row r="137" spans="1:13" s="62" customFormat="1" x14ac:dyDescent="0.2">
      <c r="A137" s="61"/>
      <c r="B137" s="61"/>
      <c r="C137" s="32" t="s">
        <v>46</v>
      </c>
      <c r="D137" s="17">
        <f>(ROUND(D132*'Start Page'!$F$48,2)*80)+(ROUND(D134*'Start Page'!$F$48,2)*($B$15-80))</f>
        <v>0</v>
      </c>
      <c r="E137" s="17">
        <f>(ROUND(E132*'Start Page'!$F$48,2)*80)+(ROUND(E134*'Start Page'!$F$48,2)*($B$15-80))</f>
        <v>0</v>
      </c>
      <c r="F137" s="17">
        <f>(ROUND(F132*'Start Page'!$F$48,2)*80)+(ROUND(F134*'Start Page'!$F$48,2)*($B$15-80))</f>
        <v>0</v>
      </c>
      <c r="G137" s="17">
        <f>(ROUND(G132*'Start Page'!$F$48,2)*80)+(ROUND(G134*'Start Page'!$F$48,2)*($B$15-80))</f>
        <v>0</v>
      </c>
      <c r="H137" s="17">
        <f>(ROUND(H132*'Start Page'!$F$48,2)*80)+(ROUND(H134*'Start Page'!$F$48,2)*($B$15-80))</f>
        <v>0</v>
      </c>
      <c r="I137" s="17">
        <f>(ROUND(I132*'Start Page'!$F$48,2)*80)+(ROUND(I134*'Start Page'!$F$48,2)*($B$15-80))</f>
        <v>0</v>
      </c>
      <c r="J137" s="17">
        <f>(ROUND(J132*'Start Page'!$F$48,2)*80)+(ROUND(J134*'Start Page'!$F$48,2)*($B$15-80))</f>
        <v>0</v>
      </c>
      <c r="K137" s="17">
        <f>(ROUND(K132*'Start Page'!$F$48,2)*80)+(ROUND(K134*'Start Page'!$F$48,2)*($B$15-80))</f>
        <v>0</v>
      </c>
      <c r="L137" s="17">
        <f>(ROUND(L132*'Start Page'!$F$48,2)*80)+(ROUND(L134*'Start Page'!$F$48,2)*($B$15-80))</f>
        <v>0</v>
      </c>
      <c r="M137" s="17">
        <f>(ROUND(M132*'Start Page'!$F$48,2)*80)+(ROUND(M134*'Start Page'!$F$48,2)*($B$15-80))</f>
        <v>0</v>
      </c>
    </row>
    <row r="138" spans="1:13" x14ac:dyDescent="0.2">
      <c r="A138" s="13"/>
      <c r="B138" s="13">
        <f>B131+B133+B135</f>
        <v>120</v>
      </c>
      <c r="C138" s="20" t="s">
        <v>17</v>
      </c>
      <c r="D138" s="34">
        <f t="shared" ref="D138:M138" si="83">D131+D133+D135+D137</f>
        <v>5395.46</v>
      </c>
      <c r="E138" s="34">
        <f t="shared" si="83"/>
        <v>5556.7800000000007</v>
      </c>
      <c r="F138" s="34">
        <f t="shared" si="83"/>
        <v>5718.36</v>
      </c>
      <c r="G138" s="34">
        <f t="shared" si="83"/>
        <v>5895.2</v>
      </c>
      <c r="H138" s="34">
        <f t="shared" si="83"/>
        <v>6073.6</v>
      </c>
      <c r="I138" s="34">
        <f t="shared" si="83"/>
        <v>6252.4</v>
      </c>
      <c r="J138" s="34">
        <f t="shared" si="83"/>
        <v>6431.2</v>
      </c>
      <c r="K138" s="34">
        <f t="shared" si="83"/>
        <v>6609.5999999999995</v>
      </c>
      <c r="L138" s="34">
        <f t="shared" si="83"/>
        <v>6788.4</v>
      </c>
      <c r="M138" s="34">
        <f t="shared" si="83"/>
        <v>6966.8</v>
      </c>
    </row>
    <row r="139" spans="1:13" x14ac:dyDescent="0.2">
      <c r="A139" s="13"/>
      <c r="B139" s="13"/>
      <c r="C139" s="20" t="s">
        <v>33</v>
      </c>
      <c r="D139" s="34">
        <f>D138*'Start Page'!$C$65</f>
        <v>140281.96</v>
      </c>
      <c r="E139" s="34">
        <f>E138*'Start Page'!$C$65</f>
        <v>144476.28000000003</v>
      </c>
      <c r="F139" s="34">
        <f>F138*'Start Page'!$C$65</f>
        <v>148677.35999999999</v>
      </c>
      <c r="G139" s="34">
        <f>G138*'Start Page'!$C$65</f>
        <v>153275.19999999998</v>
      </c>
      <c r="H139" s="34">
        <f>H138*'Start Page'!$C$65</f>
        <v>157913.60000000001</v>
      </c>
      <c r="I139" s="34">
        <f>I138*'Start Page'!$C$65</f>
        <v>162562.4</v>
      </c>
      <c r="J139" s="34">
        <f>J138*'Start Page'!$C$65</f>
        <v>167211.19999999998</v>
      </c>
      <c r="K139" s="34">
        <f>K138*'Start Page'!$C$65</f>
        <v>171849.59999999998</v>
      </c>
      <c r="L139" s="34">
        <f>L138*'Start Page'!$C$65</f>
        <v>176498.4</v>
      </c>
      <c r="M139" s="34">
        <f>M138*'Start Page'!$C$65</f>
        <v>181136.80000000002</v>
      </c>
    </row>
    <row r="140" spans="1:13" s="36" customFormat="1" x14ac:dyDescent="0.2">
      <c r="A140" s="22"/>
      <c r="B140" s="22"/>
      <c r="C140" s="23" t="s">
        <v>71</v>
      </c>
      <c r="D140" s="35">
        <f>((D132*80)+(D134*($B$15-80)))*'Start Page'!$C$65</f>
        <v>139339.20000000001</v>
      </c>
      <c r="E140" s="35">
        <f>((E132*80)+(E134*($B$15-80)))*'Start Page'!$C$65</f>
        <v>143977.60000000001</v>
      </c>
      <c r="F140" s="35">
        <f>((F132*80)+(F134*($B$15-80)))*'Start Page'!$C$65</f>
        <v>148626.4</v>
      </c>
      <c r="G140" s="35">
        <f>((G132*80)+(G134*($B$15-80)))*'Start Page'!$C$65</f>
        <v>153275.19999999998</v>
      </c>
      <c r="H140" s="35">
        <f>((H132*80)+(H134*($B$15-80)))*'Start Page'!$C$65</f>
        <v>157913.60000000001</v>
      </c>
      <c r="I140" s="35">
        <f>((I132*80)+(I134*($B$15-80)))*'Start Page'!$C$65</f>
        <v>162562.4</v>
      </c>
      <c r="J140" s="35">
        <f>((J132*80)+(J134*($B$15-80)))*'Start Page'!$C$65</f>
        <v>167211.19999999998</v>
      </c>
      <c r="K140" s="35">
        <f>((K132*80)+(K134*($B$15-80)))*'Start Page'!$C$65</f>
        <v>171849.59999999998</v>
      </c>
      <c r="L140" s="35">
        <f>((L132*80)+(L134*($B$15-80)))*'Start Page'!$C$65</f>
        <v>176498.4</v>
      </c>
      <c r="M140" s="121">
        <f>((M132*80)+(M134*($B$15-80)))*'Start Page'!$C$65</f>
        <v>181136.80000000002</v>
      </c>
    </row>
    <row r="141" spans="1:13" x14ac:dyDescent="0.2">
      <c r="A141" s="7"/>
      <c r="B141" s="7"/>
      <c r="C141" s="7"/>
      <c r="D141" s="7"/>
      <c r="E141" s="7"/>
      <c r="F141" s="7"/>
      <c r="G141" s="7"/>
      <c r="H141" s="7"/>
      <c r="I141" s="7"/>
      <c r="J141" s="7"/>
      <c r="K141" s="7"/>
      <c r="L141" s="7"/>
      <c r="M141" s="27"/>
    </row>
    <row r="142" spans="1:13" x14ac:dyDescent="0.2">
      <c r="A142" s="7"/>
      <c r="B142" s="7"/>
      <c r="C142" s="7"/>
      <c r="D142" s="7"/>
      <c r="E142" s="7"/>
      <c r="F142" s="7"/>
      <c r="G142" s="7"/>
      <c r="H142" s="7"/>
      <c r="I142" s="7"/>
      <c r="J142" s="7"/>
      <c r="K142" s="7"/>
      <c r="L142" s="7"/>
      <c r="M142" s="7"/>
    </row>
    <row r="143" spans="1:13" x14ac:dyDescent="0.2">
      <c r="A143" s="28" t="s">
        <v>75</v>
      </c>
      <c r="B143" s="28"/>
      <c r="C143" s="7"/>
      <c r="D143" s="7"/>
      <c r="E143" s="7"/>
      <c r="F143" s="7"/>
      <c r="G143" s="7"/>
      <c r="H143" s="7"/>
      <c r="I143" s="7"/>
      <c r="J143" s="7"/>
      <c r="K143" s="7"/>
      <c r="L143" s="7"/>
      <c r="M143" s="7"/>
    </row>
    <row r="144" spans="1:13" x14ac:dyDescent="0.2">
      <c r="A144" s="28" t="s">
        <v>72</v>
      </c>
      <c r="B144" s="29"/>
      <c r="C144" s="7"/>
      <c r="D144" s="7"/>
      <c r="E144" s="7"/>
      <c r="F144" s="7"/>
      <c r="G144" s="7"/>
      <c r="H144" s="7"/>
      <c r="I144" s="7"/>
      <c r="J144" s="7"/>
      <c r="K144" s="7"/>
      <c r="L144" s="7"/>
      <c r="M144" s="7"/>
    </row>
    <row r="145" spans="1:13" x14ac:dyDescent="0.2">
      <c r="A145" s="28"/>
      <c r="B145" s="29"/>
      <c r="C145" s="7"/>
      <c r="D145" s="7"/>
      <c r="E145" s="7"/>
      <c r="F145" s="7"/>
      <c r="G145" s="7"/>
      <c r="H145" s="7"/>
      <c r="I145" s="7"/>
      <c r="J145" s="7"/>
      <c r="K145" s="7"/>
      <c r="L145" s="7"/>
      <c r="M145" s="7"/>
    </row>
    <row r="146" spans="1:13" x14ac:dyDescent="0.2">
      <c r="A146" s="28" t="s">
        <v>73</v>
      </c>
      <c r="E146" s="38"/>
      <c r="G146" s="40"/>
    </row>
    <row r="147" spans="1:13" x14ac:dyDescent="0.2">
      <c r="A147" s="28" t="s">
        <v>74</v>
      </c>
      <c r="E147" s="38"/>
      <c r="G147" s="40"/>
    </row>
    <row r="148" spans="1:13" x14ac:dyDescent="0.2">
      <c r="A148" s="29" t="s">
        <v>19</v>
      </c>
      <c r="B148" s="29"/>
      <c r="C148" s="7"/>
      <c r="D148" s="7"/>
      <c r="E148" s="7"/>
      <c r="F148" s="7"/>
      <c r="G148" s="7"/>
      <c r="H148" s="7"/>
      <c r="I148" s="7"/>
      <c r="J148" s="7"/>
      <c r="K148" s="7"/>
      <c r="L148" s="7"/>
      <c r="M148" s="7"/>
    </row>
    <row r="149" spans="1:13" x14ac:dyDescent="0.2">
      <c r="A149" s="28" t="s">
        <v>32</v>
      </c>
      <c r="B149" s="28"/>
      <c r="C149" s="7"/>
      <c r="D149" s="7"/>
      <c r="E149" s="7"/>
      <c r="F149" s="7"/>
      <c r="G149" s="30">
        <f>ROUND(ROUND(D85/2087,2)*1.5,2)</f>
        <v>39.39</v>
      </c>
      <c r="I149" s="7"/>
      <c r="J149" s="7"/>
      <c r="K149" s="7"/>
      <c r="L149" s="7"/>
      <c r="M149" s="7"/>
    </row>
    <row r="150" spans="1:13" x14ac:dyDescent="0.2">
      <c r="A150" s="29"/>
      <c r="B150" s="29"/>
      <c r="C150" s="7"/>
      <c r="D150" s="7"/>
      <c r="E150" s="7"/>
      <c r="F150" s="7"/>
      <c r="G150" s="7"/>
      <c r="H150" s="7"/>
      <c r="I150" s="7"/>
      <c r="J150" s="7"/>
      <c r="K150" s="7"/>
      <c r="L150" s="7"/>
      <c r="M150" s="7"/>
    </row>
    <row r="151" spans="1:13" x14ac:dyDescent="0.2">
      <c r="A151" s="28" t="s">
        <v>36</v>
      </c>
      <c r="B151" s="28"/>
      <c r="C151" s="7"/>
      <c r="D151" s="7"/>
      <c r="E151" s="7"/>
      <c r="F151" s="7"/>
      <c r="G151" s="7"/>
      <c r="H151" s="7"/>
      <c r="I151" s="7"/>
      <c r="J151" s="7"/>
      <c r="K151" s="7"/>
      <c r="L151" s="7"/>
      <c r="M151" s="7"/>
    </row>
  </sheetData>
  <sheetProtection password="CCE4" sheet="1" objects="1" scenarios="1"/>
  <mergeCells count="2">
    <mergeCell ref="F4:I4"/>
    <mergeCell ref="G5:H5"/>
  </mergeCells>
  <phoneticPr fontId="0" type="noConversion"/>
  <hyperlinks>
    <hyperlink ref="G5:H5" location="'Start Page'!C19" display="Return to Start Page"/>
  </hyperlinks>
  <printOptions horizontalCentered="1" verticalCentered="1"/>
  <pageMargins left="0.5" right="0.5" top="0.5" bottom="0.5" header="0.5" footer="0.5"/>
  <pageSetup scale="75" fitToHeight="2" orientation="landscape" horizontalDpi="300" verticalDpi="300" r:id="rId1"/>
  <headerFooter alignWithMargins="0"/>
  <rowBreaks count="2" manualBreakCount="2">
    <brk id="50" max="12" man="1"/>
    <brk id="95" max="12" man="1"/>
  </rowBreaks>
  <legacyDrawing r:id="rId2"/>
  <picture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1:O26"/>
  <sheetViews>
    <sheetView showGridLines="0" workbookViewId="0">
      <selection activeCell="H26" sqref="H26:I26"/>
    </sheetView>
  </sheetViews>
  <sheetFormatPr defaultRowHeight="12.75" x14ac:dyDescent="0.2"/>
  <sheetData>
    <row r="21" spans="3:15" ht="30" x14ac:dyDescent="0.4">
      <c r="C21" s="199" t="s">
        <v>97</v>
      </c>
      <c r="D21" s="199"/>
      <c r="E21" s="199"/>
      <c r="F21" s="199"/>
      <c r="G21" s="199"/>
      <c r="I21" s="199" t="s">
        <v>98</v>
      </c>
      <c r="J21" s="199"/>
      <c r="K21" s="199"/>
      <c r="L21" s="199"/>
      <c r="M21" s="199"/>
      <c r="N21" s="199"/>
      <c r="O21" s="199"/>
    </row>
    <row r="26" spans="3:15" x14ac:dyDescent="0.2">
      <c r="H26" s="200" t="s">
        <v>95</v>
      </c>
      <c r="I26" s="200"/>
    </row>
  </sheetData>
  <sheetProtection password="CCE4" sheet="1" objects="1" scenarios="1"/>
  <mergeCells count="3">
    <mergeCell ref="C21:G21"/>
    <mergeCell ref="I21:O21"/>
    <mergeCell ref="H26:I26"/>
  </mergeCells>
  <phoneticPr fontId="0" type="noConversion"/>
  <hyperlinks>
    <hyperlink ref="C21:G21" location="'Shift Firefighters'!G5" display="Shift Firefighters"/>
    <hyperlink ref="I21:O21" location="'Chief, Training, Inspectors'!G5" display="Chief / Training / Inspectors"/>
    <hyperlink ref="H26:I26" location="'Start Page'!C19" display="Return to Start Page"/>
  </hyperlinks>
  <pageMargins left="0.7" right="0.7" top="0.75" bottom="0.75" header="0.3" footer="0.3"/>
  <pageSetup orientation="portrait" horizontalDpi="300" verticalDpi="300" r:id="rId1"/>
  <headerFooter alignWithMargins="0"/>
  <drawing r:id="rId2"/>
  <picture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39</vt:i4>
      </vt:variant>
    </vt:vector>
  </HeadingPairs>
  <TitlesOfParts>
    <vt:vector size="48" baseType="lpstr">
      <vt:lpstr>Start Page</vt:lpstr>
      <vt:lpstr>GS Pay Calculator</vt:lpstr>
      <vt:lpstr>GS Pay - No Locality</vt:lpstr>
      <vt:lpstr>Locality Rates</vt:lpstr>
      <vt:lpstr>Pay Retention &amp; Special Rates</vt:lpstr>
      <vt:lpstr>GS Pay Scale</vt:lpstr>
      <vt:lpstr>Shift Firefighters</vt:lpstr>
      <vt:lpstr>Chief, Training, Inspectors</vt:lpstr>
      <vt:lpstr>.</vt:lpstr>
      <vt:lpstr>Inspectors</vt:lpstr>
      <vt:lpstr>Locality</vt:lpstr>
      <vt:lpstr>Post</vt:lpstr>
      <vt:lpstr>'Chief, Training, Inspectors'!Print_Area</vt:lpstr>
      <vt:lpstr>'Locality Rates'!Print_Area</vt:lpstr>
      <vt:lpstr>Shift</vt:lpstr>
      <vt:lpstr>Shift1</vt:lpstr>
      <vt:lpstr>'GS Pay Scale'!TABLE</vt:lpstr>
      <vt:lpstr>'GS Pay Scale'!TABLE_10</vt:lpstr>
      <vt:lpstr>'GS Pay Scale'!TABLE_11</vt:lpstr>
      <vt:lpstr>'GS Pay Scale'!TABLE_12</vt:lpstr>
      <vt:lpstr>'GS Pay Scale'!TABLE_13</vt:lpstr>
      <vt:lpstr>'GS Pay Scale'!TABLE_14</vt:lpstr>
      <vt:lpstr>'GS Pay Scale'!TABLE_15</vt:lpstr>
      <vt:lpstr>'GS Pay Scale'!TABLE_16</vt:lpstr>
      <vt:lpstr>'GS Pay Scale'!TABLE_17</vt:lpstr>
      <vt:lpstr>'GS Pay Scale'!TABLE_18</vt:lpstr>
      <vt:lpstr>'GS Pay Scale'!TABLE_19</vt:lpstr>
      <vt:lpstr>'GS Pay Scale'!TABLE_2</vt:lpstr>
      <vt:lpstr>'GS Pay Scale'!TABLE_20</vt:lpstr>
      <vt:lpstr>'GS Pay Scale'!TABLE_21</vt:lpstr>
      <vt:lpstr>'GS Pay Scale'!TABLE_22</vt:lpstr>
      <vt:lpstr>'GS Pay Scale'!TABLE_23</vt:lpstr>
      <vt:lpstr>'GS Pay Scale'!TABLE_24</vt:lpstr>
      <vt:lpstr>'GS Pay Scale'!TABLE_25</vt:lpstr>
      <vt:lpstr>'GS Pay Scale'!TABLE_26</vt:lpstr>
      <vt:lpstr>'GS Pay Scale'!TABLE_27</vt:lpstr>
      <vt:lpstr>'GS Pay Scale'!TABLE_28</vt:lpstr>
      <vt:lpstr>'GS Pay Scale'!TABLE_29</vt:lpstr>
      <vt:lpstr>'GS Pay Scale'!TABLE_3</vt:lpstr>
      <vt:lpstr>'GS Pay Scale'!TABLE_30</vt:lpstr>
      <vt:lpstr>'GS Pay Scale'!TABLE_31</vt:lpstr>
      <vt:lpstr>'GS Pay Scale'!TABLE_32</vt:lpstr>
      <vt:lpstr>'GS Pay Scale'!TABLE_4</vt:lpstr>
      <vt:lpstr>'GS Pay Scale'!TABLE_5</vt:lpstr>
      <vt:lpstr>'GS Pay Scale'!TABLE_6</vt:lpstr>
      <vt:lpstr>'GS Pay Scale'!TABLE_7</vt:lpstr>
      <vt:lpstr>'GS Pay Scale'!TABLE_8</vt:lpstr>
      <vt:lpstr>'GS Pay Scale'!TABLE_9</vt:lpstr>
    </vt:vector>
  </TitlesOfParts>
  <Company>Dell Computer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General Schedule</dc:title>
  <dc:creator>Tony Fanchi</dc:creator>
  <cp:lastModifiedBy>Anthony J. Fanchi</cp:lastModifiedBy>
  <cp:lastPrinted>2013-12-24T03:33:33Z</cp:lastPrinted>
  <dcterms:created xsi:type="dcterms:W3CDTF">1999-02-27T03:27:03Z</dcterms:created>
  <dcterms:modified xsi:type="dcterms:W3CDTF">2017-01-12T20:48:27Z</dcterms:modified>
</cp:coreProperties>
</file>