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928"/>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45621"/>
</workbook>
</file>

<file path=xl/calcChain.xml><?xml version="1.0" encoding="utf-8"?>
<calcChain xmlns="http://schemas.openxmlformats.org/spreadsheetml/2006/main">
  <c r="E50" i="28" l="1"/>
  <c r="C50" i="28" s="1"/>
  <c r="E49" i="28"/>
  <c r="C49" i="28"/>
  <c r="E48" i="28"/>
  <c r="C48" i="28" s="1"/>
  <c r="E47" i="28"/>
  <c r="C47" i="28" s="1"/>
  <c r="E46" i="28"/>
  <c r="C46" i="28" s="1"/>
  <c r="E45" i="28"/>
  <c r="C45" i="28" s="1"/>
  <c r="E23" i="28"/>
  <c r="C23" i="28" s="1"/>
  <c r="E22" i="28"/>
  <c r="C22" i="28" s="1"/>
  <c r="E21" i="28"/>
  <c r="C21" i="28" s="1"/>
  <c r="E20" i="28"/>
  <c r="C20" i="28" s="1"/>
  <c r="E19" i="28"/>
  <c r="C19" i="28" s="1"/>
  <c r="E18" i="28"/>
  <c r="C18" i="28" s="1"/>
  <c r="E17" i="28"/>
  <c r="C17" i="28" s="1"/>
  <c r="A1" i="11" l="1"/>
  <c r="A56" i="11"/>
  <c r="C63" i="11"/>
  <c r="E1" i="1" s="1"/>
  <c r="F4" i="1" s="1"/>
  <c r="A5" i="25"/>
  <c r="E58" i="28"/>
  <c r="C58" i="28" s="1"/>
  <c r="E57" i="28"/>
  <c r="C57" i="28" s="1"/>
  <c r="E24" i="28"/>
  <c r="C24" i="28" s="1"/>
  <c r="E25" i="28"/>
  <c r="C25" i="28" s="1"/>
  <c r="E4" i="28"/>
  <c r="C4" i="28" s="1"/>
  <c r="E3" i="28"/>
  <c r="C3" i="28" s="1"/>
  <c r="E56" i="28"/>
  <c r="C56" i="28" s="1"/>
  <c r="E55" i="28"/>
  <c r="C55" i="28" s="1"/>
  <c r="E54" i="28"/>
  <c r="C54" i="28" s="1"/>
  <c r="E53" i="28"/>
  <c r="C53" i="28" s="1"/>
  <c r="E52" i="28"/>
  <c r="C52" i="28" s="1"/>
  <c r="E51" i="28"/>
  <c r="C51" i="28" s="1"/>
  <c r="E44" i="28"/>
  <c r="C44" i="28" s="1"/>
  <c r="E43" i="28"/>
  <c r="C43" i="28" s="1"/>
  <c r="E42" i="28"/>
  <c r="C42" i="28" s="1"/>
  <c r="E41" i="28"/>
  <c r="C41"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28" i="28"/>
  <c r="C28" i="28" s="1"/>
  <c r="E27" i="28"/>
  <c r="E26" i="28"/>
  <c r="C26" i="28" s="1"/>
  <c r="E16" i="28"/>
  <c r="C16" i="28" s="1"/>
  <c r="E15" i="28"/>
  <c r="C15" i="28" s="1"/>
  <c r="E14" i="28"/>
  <c r="C14" i="28" s="1"/>
  <c r="E13" i="28"/>
  <c r="C13" i="28" s="1"/>
  <c r="E12" i="28"/>
  <c r="C12" i="28" s="1"/>
  <c r="E11" i="28"/>
  <c r="C11" i="28" s="1"/>
  <c r="E10" i="28"/>
  <c r="C10" i="28" s="1"/>
  <c r="E9" i="28"/>
  <c r="C9" i="28" s="1"/>
  <c r="E8" i="28"/>
  <c r="C8" i="28" s="1"/>
  <c r="E7" i="28"/>
  <c r="C7" i="28" s="1"/>
  <c r="E6" i="28"/>
  <c r="C6" i="28" s="1"/>
  <c r="E5" i="28"/>
  <c r="C5" i="28" s="1"/>
  <c r="E2" i="28"/>
  <c r="F48" i="11"/>
  <c r="G4" i="7" s="1"/>
  <c r="C27" i="28"/>
  <c r="C2" i="28"/>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c r="J19" i="26"/>
  <c r="J20" i="26" s="1"/>
  <c r="J21" i="26" s="1"/>
  <c r="J22" i="26" s="1"/>
  <c r="J23" i="26" s="1"/>
  <c r="J24" i="26" s="1"/>
  <c r="D2" i="26"/>
  <c r="F2" i="26"/>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21" i="11"/>
  <c r="D1" i="7"/>
  <c r="E5" i="7" s="1"/>
  <c r="E1" i="4"/>
  <c r="F4" i="4" s="1"/>
  <c r="B14" i="7" l="1"/>
  <c r="D52" i="1" s="1"/>
  <c r="D54" i="1" s="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c r="D18" i="7" l="1"/>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F112" i="4" s="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F16" i="1" l="1"/>
  <c r="F18" i="1" s="1"/>
  <c r="F21"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20" i="1" l="1"/>
  <c r="F19" i="1" s="1"/>
  <c r="F24" i="1"/>
  <c r="F56" i="4"/>
  <c r="F62" i="4" s="1"/>
  <c r="F17" i="1"/>
  <c r="G98" i="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53" i="4"/>
  <c r="G132" i="4"/>
  <c r="G134" i="4"/>
  <c r="H74" i="4"/>
  <c r="H62" i="1"/>
  <c r="H64" i="1" s="1"/>
  <c r="G14" i="7"/>
  <c r="H9" i="27"/>
  <c r="G31" i="4"/>
  <c r="G33" i="4"/>
  <c r="G56" i="4"/>
  <c r="G54" i="4"/>
  <c r="F129" i="4"/>
  <c r="F120" i="4"/>
  <c r="F126" i="4"/>
  <c r="G9" i="7"/>
  <c r="H4" i="27"/>
  <c r="I89" i="1"/>
  <c r="I91" i="1" s="1"/>
  <c r="I108" i="4"/>
  <c r="F103" i="4"/>
  <c r="F102" i="4" s="1"/>
  <c r="F100" i="4"/>
  <c r="G67" i="1"/>
  <c r="G63" i="1"/>
  <c r="G66" i="1"/>
  <c r="G65" i="1" s="1"/>
  <c r="G70" i="1"/>
  <c r="F91" i="4"/>
  <c r="F90" i="4" s="1"/>
  <c r="F88" i="4"/>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58" i="4" l="1"/>
  <c r="F57" i="4" s="1"/>
  <c r="F55" i="4"/>
  <c r="F22" i="1"/>
  <c r="F23" i="1" s="1"/>
  <c r="G99" i="1"/>
  <c r="G103" i="1"/>
  <c r="G106" i="1"/>
  <c r="F47" i="4"/>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60" i="4" l="1"/>
  <c r="F61" i="4" s="1"/>
  <c r="G104" i="1"/>
  <c r="G105" i="1" s="1"/>
  <c r="F48" i="4"/>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authors>
    <author>anthony.fanchi</author>
    <author>Anthony J. Fanchi</author>
    <author>Anthony J Fanchi</author>
  </authors>
  <commentList>
    <comment ref="C19" authorId="0">
      <text>
        <r>
          <rPr>
            <b/>
            <sz val="9"/>
            <color indexed="81"/>
            <rFont val="Tahoma"/>
            <family val="2"/>
          </rPr>
          <t>Click here to go straight to the pay charts.</t>
        </r>
        <r>
          <rPr>
            <sz val="9"/>
            <color indexed="81"/>
            <rFont val="Tahoma"/>
            <family val="2"/>
          </rPr>
          <t xml:space="preserve">
</t>
        </r>
      </text>
    </comment>
    <comment ref="F27" authorId="1">
      <text>
        <r>
          <rPr>
            <b/>
            <sz val="9"/>
            <color indexed="81"/>
            <rFont val="Tahoma"/>
            <family val="2"/>
          </rPr>
          <t>Click here to enter a special salary rate</t>
        </r>
      </text>
    </comment>
    <comment ref="C31" authorId="2">
      <text>
        <r>
          <rPr>
            <b/>
            <sz val="8"/>
            <color indexed="81"/>
            <rFont val="Tahoma"/>
            <family val="2"/>
          </rPr>
          <t>Select 84, 72, 60, or 56</t>
        </r>
      </text>
    </comment>
    <comment ref="C33" authorId="2">
      <text>
        <r>
          <rPr>
            <b/>
            <sz val="8"/>
            <color indexed="81"/>
            <rFont val="Tahoma"/>
            <family val="2"/>
          </rPr>
          <t>Select 60 or 56</t>
        </r>
      </text>
    </comment>
    <comment ref="C46" authorId="2">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authors>
    <author>francis.scott</author>
    <author>Anthony J Fanchi</author>
  </authors>
  <commentList>
    <comment ref="C15" authorId="0">
      <text>
        <r>
          <rPr>
            <b/>
            <sz val="8"/>
            <color indexed="81"/>
            <rFont val="Tahoma"/>
            <family val="2"/>
          </rPr>
          <t>Enter Annual Base Salary only!  Do not include Locality Pay, Local Market Supplement, or overtime.</t>
        </r>
      </text>
    </comment>
    <comment ref="C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text>
        <r>
          <rPr>
            <b/>
            <sz val="8"/>
            <color indexed="81"/>
            <rFont val="Tahoma"/>
            <family val="2"/>
          </rPr>
          <t xml:space="preserve">REG PAY refers to amount earned for the regular 80 hours a pay period (40 a week).  On your LES, it is referred to as "REGULAR PAY."
</t>
        </r>
      </text>
    </comment>
    <comment ref="C22" authorId="1">
      <text>
        <r>
          <rPr>
            <b/>
            <sz val="8"/>
            <color indexed="81"/>
            <rFont val="Tahoma"/>
            <family val="2"/>
          </rPr>
          <t xml:space="preserve">FF RATE refers to the hourly pay actually received for the first 106 hours.  It is less than the normal GS rate.
</t>
        </r>
      </text>
    </comment>
    <comment ref="G22" authorId="1">
      <text>
        <r>
          <rPr>
            <b/>
            <sz val="8"/>
            <color indexed="81"/>
            <rFont val="Tahoma"/>
            <family val="2"/>
          </rPr>
          <t>REG RATE refers to the hourly pay actually received for those 80 hours.  It is the normal hourly rate of a 40-hour employee.</t>
        </r>
      </text>
    </comment>
    <comment ref="C23" authorId="1">
      <text>
        <r>
          <rPr>
            <b/>
            <sz val="8"/>
            <color indexed="81"/>
            <rFont val="Tahoma"/>
            <family val="2"/>
          </rPr>
          <t xml:space="preserve">OT PAY refers to overtime pay earned for all hours beyond 106.  On your LES, it is referred to as "OT IN TOUR."
</t>
        </r>
      </text>
    </comment>
    <comment ref="G23" authorId="1">
      <text>
        <r>
          <rPr>
            <b/>
            <sz val="8"/>
            <color indexed="81"/>
            <rFont val="Tahoma"/>
            <family val="2"/>
          </rPr>
          <t xml:space="preserve">FF PAY refers to the amount earned for 26 hours a pay period (hours 41 to 53 a week).  On your LES, it is also referred to as "REGULAR PAY."
</t>
        </r>
      </text>
    </comment>
    <comment ref="C24" authorId="1">
      <text>
        <r>
          <rPr>
            <b/>
            <sz val="8"/>
            <color indexed="81"/>
            <rFont val="Tahoma"/>
            <family val="2"/>
          </rPr>
          <t>OT RATE refers to 1 1/2 times the FF hourly rate.  It is less than GS overtime.</t>
        </r>
      </text>
    </comment>
    <comment ref="G24" authorId="1">
      <text>
        <r>
          <rPr>
            <b/>
            <sz val="8"/>
            <color indexed="81"/>
            <rFont val="Tahoma"/>
            <family val="2"/>
          </rPr>
          <t>FF RATE refers to the hourly pay actually received for those 26 hours.  It is the same as shift firefighters of equal grade and step receive.</t>
        </r>
      </text>
    </comment>
    <comment ref="C25" authorId="1">
      <text>
        <r>
          <rPr>
            <b/>
            <sz val="8"/>
            <color indexed="81"/>
            <rFont val="Tahoma"/>
            <family val="2"/>
          </rPr>
          <t xml:space="preserve">COLA refers to the Non-Foreign Cost of Living Allowance federal workers receive when employed outside the continental U.S.
</t>
        </r>
      </text>
    </comment>
    <comment ref="G25" authorId="1">
      <text>
        <r>
          <rPr>
            <b/>
            <sz val="8"/>
            <color indexed="81"/>
            <rFont val="Tahoma"/>
            <family val="2"/>
          </rPr>
          <t xml:space="preserve">OT PAY refers to overtime pay earned for all hours beyond 106.  On your LES, it is referred to as "OT IN TOUR."
</t>
        </r>
      </text>
    </comment>
    <comment ref="C26" authorId="1">
      <text>
        <r>
          <rPr>
            <b/>
            <sz val="8"/>
            <color indexed="81"/>
            <rFont val="Tahoma"/>
            <family val="2"/>
          </rPr>
          <t xml:space="preserve">PAY PERIOD refers to the actual gross pay you should receive each pay period.  It is derived by adding FF and OT pay together plus COLA (if applicable).
</t>
        </r>
      </text>
    </comment>
    <comment ref="G26" authorId="1">
      <text>
        <r>
          <rPr>
            <b/>
            <sz val="8"/>
            <color indexed="81"/>
            <rFont val="Tahoma"/>
            <family val="2"/>
          </rPr>
          <t>OT RATE refers to 1 1/2 times the FF hourly rate.  It is less than GS overtime.</t>
        </r>
      </text>
    </comment>
    <comment ref="C27" authorId="1">
      <text>
        <r>
          <rPr>
            <b/>
            <sz val="8"/>
            <color indexed="81"/>
            <rFont val="Tahoma"/>
            <family val="2"/>
          </rPr>
          <t xml:space="preserve">ANNUAL PAY refers to the actual gross pay you should receive for 26 or 27 (if applicable) pay periods.  
</t>
        </r>
      </text>
    </comment>
    <comment ref="G27" authorId="1">
      <text>
        <r>
          <rPr>
            <b/>
            <sz val="8"/>
            <color indexed="81"/>
            <rFont val="Tahoma"/>
            <family val="2"/>
          </rPr>
          <t xml:space="preserve">COLA refers to the Non-Foreign Cost of Living Allowance federal workers receive when employed outside the continental U.S.
</t>
        </r>
      </text>
    </comment>
    <comment ref="C28"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text>
        <r>
          <rPr>
            <b/>
            <sz val="8"/>
            <color indexed="81"/>
            <rFont val="Tahoma"/>
            <family val="2"/>
          </rPr>
          <t>PAY PERIOD refers to the actual gross pay you should receive each pay period.  It is derived by adding GS, FF, and OT pay together plus COLA (if applicable).</t>
        </r>
      </text>
    </comment>
    <comment ref="G29" authorId="1">
      <text>
        <r>
          <rPr>
            <b/>
            <sz val="8"/>
            <color indexed="81"/>
            <rFont val="Tahoma"/>
            <family val="2"/>
          </rPr>
          <t xml:space="preserve">ANNUAL PAY refers to the actual gross pay you should receive for 26 or 27 (if applicable) pay periods.  
</t>
        </r>
      </text>
    </comment>
    <comment ref="G30" authorId="1">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text>
        <r>
          <rPr>
            <b/>
            <sz val="8"/>
            <color indexed="81"/>
            <rFont val="Tahoma"/>
            <family val="2"/>
          </rPr>
          <t xml:space="preserve">FF RATE refers to the hourly pay actually received for the first 106 hours.  It is less than the normal GS rate.
</t>
        </r>
      </text>
    </comment>
    <comment ref="C10" authorId="0">
      <text>
        <r>
          <rPr>
            <b/>
            <sz val="8"/>
            <color indexed="81"/>
            <rFont val="Tahoma"/>
            <family val="2"/>
          </rPr>
          <t xml:space="preserve">OT PAY refers to overtime pay earned for all hours beyond 106.  On your LES, it is referred to as "OT IN TOUR."
</t>
        </r>
      </text>
    </comment>
    <comment ref="C11" authorId="0">
      <text>
        <r>
          <rPr>
            <b/>
            <sz val="8"/>
            <color indexed="81"/>
            <rFont val="Tahoma"/>
            <family val="2"/>
          </rPr>
          <t>OT RATE refers to 1 1/2 times the FF hourly rate.  It is less than GS overtime.</t>
        </r>
      </text>
    </comment>
    <comment ref="C12" authorId="0">
      <text>
        <r>
          <rPr>
            <b/>
            <sz val="8"/>
            <color indexed="81"/>
            <rFont val="Tahoma"/>
            <family val="2"/>
          </rPr>
          <t xml:space="preserve">COLA refers to the Non-Foreign Cost of Living Allowance federal workers receive when employed outside the continental U.S.
</t>
        </r>
      </text>
    </comment>
    <comment ref="C13" authorId="0">
      <text>
        <r>
          <rPr>
            <b/>
            <sz val="8"/>
            <color indexed="81"/>
            <rFont val="Tahoma"/>
            <family val="2"/>
          </rPr>
          <t xml:space="preserve">PAY PERIOD refers to the actual gross pay you should receive each pay period.  It is derived by adding FF and OT pay together plus COLA (if applicable).
</t>
        </r>
      </text>
    </comment>
    <comment ref="C14" authorId="0">
      <text>
        <r>
          <rPr>
            <b/>
            <sz val="8"/>
            <color indexed="81"/>
            <rFont val="Tahoma"/>
            <family val="2"/>
          </rPr>
          <t xml:space="preserve">ANNUAL PAY refers to the actual gross pay you should receive for 26 pay periods.  
</t>
        </r>
      </text>
    </comment>
    <comment ref="C15"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authors>
    <author>Anthony J Fanchi</author>
  </authors>
  <commentList>
    <comment ref="C7" authorId="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text>
        <r>
          <rPr>
            <b/>
            <sz val="8"/>
            <color indexed="81"/>
            <rFont val="Tahoma"/>
            <family val="2"/>
          </rPr>
          <t xml:space="preserve">GS PAY refers to amount earned for the regular 80 hours a pay period (40 a week).  On your LES, it is referred to as "REGULAR PAY."
</t>
        </r>
      </text>
    </comment>
    <comment ref="C9" authorId="0">
      <text>
        <r>
          <rPr>
            <b/>
            <sz val="8"/>
            <color indexed="81"/>
            <rFont val="Tahoma"/>
            <family val="2"/>
          </rPr>
          <t xml:space="preserve">GS RATE refers to the hourly pay actually received for those 80 hours.  It is the normal GS rate.
</t>
        </r>
      </text>
    </comment>
    <comment ref="C10" authorId="0">
      <text>
        <r>
          <rPr>
            <b/>
            <sz val="8"/>
            <color indexed="81"/>
            <rFont val="Tahoma"/>
            <family val="2"/>
          </rPr>
          <t xml:space="preserve">FF PAY refers to the amount earned for 26 hours a pay period (hours 41 to 53 a week).  On your LES, it is also referred to as "REGULAR PAY."
</t>
        </r>
      </text>
    </comment>
    <comment ref="C11" authorId="0">
      <text>
        <r>
          <rPr>
            <b/>
            <sz val="8"/>
            <color indexed="81"/>
            <rFont val="Tahoma"/>
            <family val="2"/>
          </rPr>
          <t>FF RATE refers to the hourly pay actually received for those 26 hours.  It is the same as shift firefighters of equal grade and step receive.</t>
        </r>
      </text>
    </comment>
    <comment ref="C12" authorId="0">
      <text>
        <r>
          <rPr>
            <b/>
            <sz val="8"/>
            <color indexed="81"/>
            <rFont val="Tahoma"/>
            <family val="2"/>
          </rPr>
          <t xml:space="preserve">OT PAY refers to overtime pay earned for all hours beyond 106.  On your LES, it is referred to as "OT IN TOUR."
</t>
        </r>
      </text>
    </comment>
    <comment ref="C13" authorId="0">
      <text>
        <r>
          <rPr>
            <b/>
            <sz val="8"/>
            <color indexed="81"/>
            <rFont val="Tahoma"/>
            <family val="2"/>
          </rPr>
          <t>OT RATE refers to 1 1/2 times the FF hourly rate.  It is less than GS overtime.</t>
        </r>
      </text>
    </comment>
    <comment ref="C14" authorId="0">
      <text>
        <r>
          <rPr>
            <b/>
            <sz val="8"/>
            <color indexed="81"/>
            <rFont val="Tahoma"/>
            <family val="2"/>
          </rPr>
          <t xml:space="preserve">COLA refers to the Non-Foreign Cost of Living Allowance federal workers receive when employed outside the continental U.S.
</t>
        </r>
      </text>
    </comment>
    <comment ref="C15" authorId="0">
      <text>
        <r>
          <rPr>
            <b/>
            <sz val="8"/>
            <color indexed="81"/>
            <rFont val="Tahoma"/>
            <family val="2"/>
          </rPr>
          <t>PAY PERIOD refers to the actual gross pay you should receive each pay period.  It is derived by adding GS, FF, and OT pay together plus COLA (if applicable).</t>
        </r>
      </text>
    </comment>
    <comment ref="C16" authorId="0">
      <text>
        <r>
          <rPr>
            <b/>
            <sz val="8"/>
            <color indexed="81"/>
            <rFont val="Tahoma"/>
            <family val="2"/>
          </rPr>
          <t xml:space="preserve">ANNUAL PAY refers to the actual gross pay you should receive for 26 pay periods.  
</t>
        </r>
      </text>
    </comment>
    <comment ref="C17" authorId="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<sst xmlns="http://schemas.openxmlformats.org/spreadsheetml/2006/main" count="547" uniqueCount="181">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</sst>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1">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47" fillId="0" borderId="0" xfId="0" applyFont="1" applyAlignment="1">
      <alignment horizontal="left"/>
    </xf>
    <xf numFmtId="0" fontId="47" fillId="0" borderId="0" xfId="0" applyFont="1" applyFill="1" applyAlignment="1" applyProtection="1">
      <alignment horizontal="right"/>
    </xf>
    <xf numFmtId="0" fontId="2" fillId="0" borderId="0" xfId="0" applyFont="1" applyFill="1" applyAlignment="1" applyProtection="1">
      <alignment horizontal="left" wrapText="1"/>
    </xf>
    <xf numFmtId="0" fontId="49" fillId="0" borderId="0" xfId="0" applyFont="1" applyFill="1" applyAlignment="1" applyProtection="1">
      <alignment horizontal="lef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48"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2" fillId="0" borderId="0" xfId="0" applyFont="1" applyFill="1" applyAlignment="1" applyProtection="1">
      <alignment horizontal="left"/>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0" fillId="0" borderId="0" xfId="0" applyAlignment="1">
      <alignment wrapText="1"/>
    </xf>
    <xf numFmtId="0" fontId="15" fillId="0" borderId="0" xfId="0" applyFont="1" applyFill="1" applyAlignment="1" applyProtection="1">
      <alignment horizontal="center" wrapText="1"/>
    </xf>
    <xf numFmtId="0" fontId="2" fillId="0" borderId="0" xfId="0" applyFont="1" applyAlignment="1">
      <alignment horizontal="left" wrapText="1"/>
    </xf>
    <xf numFmtId="0" fontId="12" fillId="24" borderId="0" xfId="0" applyFont="1" applyFill="1" applyBorder="1" applyAlignment="1" applyProtection="1">
      <alignment horizontal="left"/>
      <protection locked="0"/>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salaries-wages/pay-executive-order-2018-adjustments-of-certain-rates-of-pay.pdf"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admin@fedfirepay.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3"/>
  <sheetViews>
    <sheetView showGridLines="0" tabSelected="1" zoomScaleNormal="100" workbookViewId="0">
      <selection activeCell="C19" sqref="C19:K19"/>
    </sheetView>
  </sheetViews>
  <sheetFormatPr defaultRowHeight="12.75" x14ac:dyDescent="0.2"/>
  <cols>
    <col min="1" max="12" width="9.140625" style="46"/>
    <col min="13" max="13" width="10.5703125" style="46" customWidth="1"/>
    <col min="14" max="16384" width="9.140625" style="46"/>
  </cols>
  <sheetData>
    <row r="1" spans="1:13" ht="36.75" customHeight="1" x14ac:dyDescent="0.4">
      <c r="A1" s="162">
        <f>'GS Pay Calculator'!B2</f>
        <v>2018</v>
      </c>
      <c r="B1" s="162"/>
      <c r="C1" s="161" t="s">
        <v>78</v>
      </c>
      <c r="D1" s="161"/>
      <c r="E1" s="161"/>
      <c r="F1" s="161"/>
      <c r="G1" s="161"/>
      <c r="H1" s="161"/>
      <c r="I1" s="161"/>
      <c r="J1" s="161"/>
      <c r="K1" s="161"/>
      <c r="L1" s="161"/>
      <c r="M1" s="161"/>
    </row>
    <row r="2" spans="1:13" x14ac:dyDescent="0.2">
      <c r="A2" s="166" t="s">
        <v>62</v>
      </c>
      <c r="B2" s="166"/>
      <c r="C2" s="166"/>
      <c r="D2" s="166"/>
      <c r="E2" s="166"/>
      <c r="F2" s="166"/>
      <c r="G2" s="166"/>
      <c r="H2" s="166"/>
      <c r="I2" s="166"/>
      <c r="J2" s="166"/>
      <c r="K2" s="166"/>
      <c r="L2" s="166"/>
      <c r="M2" s="166"/>
    </row>
    <row r="19" spans="1:13" s="47" customFormat="1" ht="22.5" x14ac:dyDescent="0.3">
      <c r="C19" s="170" t="s">
        <v>85</v>
      </c>
      <c r="D19" s="170"/>
      <c r="E19" s="170"/>
      <c r="F19" s="170"/>
      <c r="G19" s="170"/>
      <c r="H19" s="170"/>
      <c r="I19" s="170"/>
      <c r="J19" s="170"/>
      <c r="K19" s="170"/>
      <c r="L19" s="97"/>
    </row>
    <row r="21" spans="1:13" ht="39" customHeight="1" x14ac:dyDescent="0.2">
      <c r="A21" s="171"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2018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71"/>
      <c r="C21" s="171"/>
      <c r="D21" s="171"/>
      <c r="E21" s="171"/>
      <c r="F21" s="171"/>
      <c r="G21" s="171"/>
      <c r="H21" s="171"/>
      <c r="I21" s="171"/>
      <c r="J21" s="171"/>
      <c r="K21" s="171"/>
      <c r="L21" s="171"/>
      <c r="M21" s="171"/>
    </row>
    <row r="22" spans="1:13" ht="12.75" customHeight="1" x14ac:dyDescent="0.2">
      <c r="A22" s="98"/>
      <c r="B22" s="98"/>
      <c r="C22" s="98"/>
      <c r="D22" s="98"/>
      <c r="E22" s="98"/>
      <c r="F22" s="98"/>
      <c r="G22" s="98"/>
      <c r="H22" s="98"/>
      <c r="I22" s="98"/>
      <c r="J22" s="98"/>
      <c r="K22" s="98"/>
    </row>
    <row r="23" spans="1:13" ht="12.75" customHeight="1" x14ac:dyDescent="0.2">
      <c r="A23" s="168" t="s">
        <v>86</v>
      </c>
      <c r="B23" s="168"/>
      <c r="C23" s="168"/>
      <c r="D23" s="168"/>
      <c r="E23" s="168"/>
      <c r="F23" s="168"/>
      <c r="G23" s="168"/>
      <c r="H23" s="168"/>
      <c r="I23" s="168"/>
      <c r="J23" s="168"/>
      <c r="K23" s="168"/>
      <c r="L23" s="168"/>
      <c r="M23" s="168"/>
    </row>
    <row r="24" spans="1:13" ht="12.75" customHeight="1" x14ac:dyDescent="0.2">
      <c r="A24" s="123"/>
      <c r="B24" s="124"/>
      <c r="C24" s="124"/>
      <c r="D24" s="124"/>
      <c r="E24" s="124"/>
      <c r="F24" s="124"/>
      <c r="G24" s="124"/>
      <c r="H24" s="124"/>
      <c r="I24" s="124"/>
      <c r="J24" s="124"/>
      <c r="K24" s="124"/>
      <c r="L24" s="122"/>
      <c r="M24" s="122"/>
    </row>
    <row r="25" spans="1:13" s="154" customFormat="1" ht="38.25" customHeight="1" x14ac:dyDescent="0.2">
      <c r="A25" s="164" t="s">
        <v>180</v>
      </c>
      <c r="B25" s="164"/>
      <c r="C25" s="164"/>
      <c r="D25" s="164"/>
      <c r="E25" s="164"/>
      <c r="F25" s="164"/>
      <c r="G25" s="164"/>
      <c r="H25" s="164"/>
      <c r="I25" s="164"/>
      <c r="J25" s="164"/>
      <c r="K25" s="164"/>
      <c r="L25" s="164"/>
      <c r="M25" s="164"/>
    </row>
    <row r="27" spans="1:13" ht="14.25" x14ac:dyDescent="0.2">
      <c r="A27" s="165"/>
      <c r="B27" s="166"/>
      <c r="C27" s="166"/>
      <c r="F27" s="167" t="s">
        <v>129</v>
      </c>
      <c r="G27" s="167"/>
      <c r="H27" s="167"/>
    </row>
    <row r="29" spans="1:13" ht="51" customHeight="1" x14ac:dyDescent="0.2">
      <c r="A29" s="168" t="s">
        <v>104</v>
      </c>
      <c r="B29" s="168"/>
      <c r="C29" s="168"/>
      <c r="D29" s="168"/>
      <c r="E29" s="168"/>
      <c r="F29" s="168"/>
      <c r="G29" s="168"/>
      <c r="H29" s="168"/>
      <c r="I29" s="168"/>
      <c r="J29" s="168"/>
      <c r="K29" s="168"/>
      <c r="L29" s="168"/>
      <c r="M29" s="168"/>
    </row>
    <row r="30" spans="1:13" x14ac:dyDescent="0.2">
      <c r="H30" s="49"/>
    </row>
    <row r="31" spans="1:13" x14ac:dyDescent="0.2">
      <c r="A31" s="46" t="s">
        <v>38</v>
      </c>
      <c r="C31" s="59">
        <v>72</v>
      </c>
      <c r="F31" s="50"/>
      <c r="I31" s="51"/>
    </row>
    <row r="33" spans="1:13" x14ac:dyDescent="0.2">
      <c r="A33" s="46" t="s">
        <v>39</v>
      </c>
      <c r="C33" s="59">
        <v>60</v>
      </c>
      <c r="F33" s="50"/>
      <c r="I33" s="51"/>
    </row>
    <row r="34" spans="1:13" x14ac:dyDescent="0.2">
      <c r="C34" s="92"/>
      <c r="F34" s="50"/>
      <c r="I34" s="51"/>
    </row>
    <row r="35" spans="1:13" ht="39" customHeight="1" x14ac:dyDescent="0.2">
      <c r="A35" s="169" t="s">
        <v>134</v>
      </c>
      <c r="B35" s="169"/>
      <c r="C35" s="169"/>
      <c r="D35" s="169"/>
      <c r="E35" s="169"/>
      <c r="F35" s="169"/>
      <c r="G35" s="169"/>
      <c r="H35" s="169"/>
      <c r="I35" s="169"/>
      <c r="J35" s="169"/>
      <c r="K35" s="169"/>
      <c r="L35" s="169"/>
      <c r="M35" s="169"/>
    </row>
    <row r="36" spans="1:13" s="52" customFormat="1" x14ac:dyDescent="0.2">
      <c r="A36" s="47"/>
    </row>
    <row r="37" spans="1:13" s="52" customFormat="1" ht="38.25" customHeight="1" x14ac:dyDescent="0.2">
      <c r="A37" s="168" t="s">
        <v>99</v>
      </c>
      <c r="B37" s="168"/>
      <c r="C37" s="168"/>
      <c r="D37" s="168"/>
      <c r="E37" s="168"/>
      <c r="F37" s="168"/>
      <c r="G37" s="168"/>
      <c r="H37" s="168"/>
      <c r="I37" s="168"/>
      <c r="J37" s="168"/>
      <c r="K37" s="168"/>
      <c r="L37" s="168"/>
      <c r="M37" s="168"/>
    </row>
    <row r="38" spans="1:13" s="52" customFormat="1" x14ac:dyDescent="0.2"/>
    <row r="39" spans="1:13" s="52" customFormat="1" x14ac:dyDescent="0.2">
      <c r="A39" s="172" t="s">
        <v>105</v>
      </c>
      <c r="B39" s="172"/>
      <c r="C39" s="172"/>
      <c r="D39" s="172"/>
      <c r="E39" s="155" t="s">
        <v>107</v>
      </c>
    </row>
    <row r="40" spans="1:13" s="52" customFormat="1" x14ac:dyDescent="0.2"/>
    <row r="41" spans="1:13" ht="38.25" customHeight="1" x14ac:dyDescent="0.2">
      <c r="A41" s="168" t="s">
        <v>133</v>
      </c>
      <c r="B41" s="168"/>
      <c r="C41" s="168"/>
      <c r="D41" s="168"/>
      <c r="E41" s="168"/>
      <c r="F41" s="168"/>
      <c r="G41" s="168"/>
      <c r="H41" s="168"/>
      <c r="I41" s="168"/>
      <c r="J41" s="168"/>
      <c r="K41" s="168"/>
      <c r="L41" s="168"/>
      <c r="M41" s="168"/>
    </row>
    <row r="43" spans="1:13" ht="12.75" customHeight="1" x14ac:dyDescent="0.2">
      <c r="A43" s="163" t="s">
        <v>135</v>
      </c>
      <c r="B43" s="163"/>
      <c r="C43" s="163"/>
      <c r="D43" s="163"/>
      <c r="E43" s="163"/>
      <c r="F43" s="163"/>
      <c r="G43" s="163"/>
      <c r="H43" s="163"/>
      <c r="I43" s="96" t="s">
        <v>80</v>
      </c>
      <c r="K43" s="96" t="s">
        <v>79</v>
      </c>
    </row>
    <row r="44" spans="1:13" ht="12.75" customHeight="1" x14ac:dyDescent="0.2">
      <c r="A44" s="163" t="s">
        <v>112</v>
      </c>
      <c r="B44" s="163"/>
      <c r="C44" s="163"/>
      <c r="D44" s="163"/>
      <c r="E44" s="163"/>
      <c r="F44" s="163"/>
      <c r="G44" s="163"/>
      <c r="H44" s="163"/>
      <c r="I44" s="163"/>
      <c r="J44" s="163"/>
      <c r="K44" s="163"/>
      <c r="L44" s="163"/>
      <c r="M44" s="163"/>
    </row>
    <row r="45" spans="1:13" x14ac:dyDescent="0.2">
      <c r="C45" s="54"/>
    </row>
    <row r="46" spans="1:13" x14ac:dyDescent="0.2">
      <c r="A46" s="52" t="s">
        <v>69</v>
      </c>
      <c r="C46" s="181" t="s">
        <v>87</v>
      </c>
      <c r="D46" s="181"/>
      <c r="E46" s="181"/>
      <c r="F46" s="181"/>
      <c r="G46" s="181"/>
      <c r="H46" s="163" t="s">
        <v>66</v>
      </c>
      <c r="I46" s="163"/>
      <c r="J46" s="163"/>
      <c r="K46" s="163"/>
      <c r="L46" s="178"/>
      <c r="M46" s="178"/>
    </row>
    <row r="47" spans="1:13" x14ac:dyDescent="0.2">
      <c r="C47" s="87"/>
      <c r="D47" s="47"/>
      <c r="E47" s="47"/>
    </row>
    <row r="48" spans="1:13" x14ac:dyDescent="0.2">
      <c r="A48" s="174" t="s">
        <v>88</v>
      </c>
      <c r="B48" s="174"/>
      <c r="C48" s="88">
        <f>IF(C52="",VLOOKUP(C46,'Locality Rates'!A2:B58,2,FALSE),C52)</f>
        <v>0.1537</v>
      </c>
      <c r="D48" s="175" t="s">
        <v>111</v>
      </c>
      <c r="E48" s="176"/>
      <c r="F48" s="102">
        <f>IF(F52="",IF(E39="Yes",VLOOKUP(C46,'Locality Rates'!A2:C58,3,FALSE),VLOOKUP(C46,'Locality Rates'!A2:F58,5,FALSE)),F52)</f>
        <v>0</v>
      </c>
      <c r="G48" s="180" t="s">
        <v>89</v>
      </c>
      <c r="H48" s="180"/>
      <c r="I48" s="180"/>
      <c r="J48" s="180"/>
      <c r="K48" s="180"/>
      <c r="L48" s="178"/>
      <c r="M48" s="178"/>
    </row>
    <row r="49" spans="1:13" x14ac:dyDescent="0.2">
      <c r="A49" s="100"/>
      <c r="B49" s="100"/>
      <c r="C49" s="103"/>
      <c r="D49" s="101"/>
      <c r="E49" s="45"/>
      <c r="F49" s="104"/>
      <c r="G49" s="105"/>
      <c r="H49" s="106"/>
      <c r="I49" s="107"/>
      <c r="J49" s="108"/>
      <c r="K49" s="108"/>
      <c r="L49" s="108"/>
    </row>
    <row r="50" spans="1:13" ht="12.75" customHeight="1" x14ac:dyDescent="0.2">
      <c r="A50" s="179" t="s">
        <v>90</v>
      </c>
      <c r="B50" s="179"/>
      <c r="C50" s="179"/>
      <c r="D50" s="179"/>
      <c r="E50" s="179"/>
      <c r="F50" s="179"/>
      <c r="G50" s="179"/>
      <c r="H50" s="179"/>
      <c r="I50" s="179"/>
      <c r="J50" s="179"/>
      <c r="K50" s="179"/>
      <c r="L50" s="179"/>
      <c r="M50" s="179"/>
    </row>
    <row r="51" spans="1:13" x14ac:dyDescent="0.2">
      <c r="A51" s="100"/>
      <c r="B51" s="100"/>
      <c r="C51" s="103"/>
      <c r="D51" s="101"/>
      <c r="E51" s="45"/>
      <c r="F51" s="104"/>
      <c r="G51" s="105"/>
      <c r="H51" s="106"/>
      <c r="I51" s="107"/>
      <c r="J51" s="108"/>
      <c r="K51" s="108"/>
      <c r="L51" s="108"/>
    </row>
    <row r="52" spans="1:13" x14ac:dyDescent="0.2">
      <c r="A52" s="174" t="s">
        <v>88</v>
      </c>
      <c r="B52" s="174"/>
      <c r="C52" s="109"/>
      <c r="D52" s="175" t="s">
        <v>111</v>
      </c>
      <c r="E52" s="176"/>
      <c r="F52" s="110"/>
      <c r="G52" s="177" t="s">
        <v>91</v>
      </c>
      <c r="H52" s="177"/>
      <c r="I52" s="177"/>
      <c r="J52" s="177"/>
      <c r="K52" s="177"/>
      <c r="L52" s="178"/>
      <c r="M52" s="178"/>
    </row>
    <row r="53" spans="1:13" x14ac:dyDescent="0.2">
      <c r="A53" s="108"/>
      <c r="B53" s="108"/>
      <c r="C53" s="88"/>
      <c r="D53" s="50"/>
      <c r="E53" s="108"/>
      <c r="F53" s="108"/>
      <c r="G53" s="108"/>
      <c r="H53" s="108"/>
      <c r="I53" s="108"/>
      <c r="J53" s="108"/>
      <c r="K53" s="108"/>
      <c r="L53" s="108"/>
    </row>
    <row r="54" spans="1:13" ht="38.25" customHeight="1" x14ac:dyDescent="0.2">
      <c r="A54" s="163" t="s">
        <v>132</v>
      </c>
      <c r="B54" s="163"/>
      <c r="C54" s="163"/>
      <c r="D54" s="163"/>
      <c r="E54" s="163"/>
      <c r="F54" s="163"/>
      <c r="G54" s="163"/>
      <c r="H54" s="163"/>
      <c r="I54" s="163"/>
      <c r="J54" s="163"/>
      <c r="K54" s="163"/>
      <c r="L54" s="163"/>
      <c r="M54" s="163"/>
    </row>
    <row r="55" spans="1:13" ht="12.75" customHeight="1" x14ac:dyDescent="0.2">
      <c r="A55" s="99"/>
      <c r="B55" s="99"/>
      <c r="C55" s="99"/>
      <c r="D55" s="99"/>
      <c r="E55" s="99"/>
      <c r="F55" s="99"/>
      <c r="G55" s="99"/>
      <c r="H55" s="99"/>
      <c r="I55" s="99"/>
      <c r="J55" s="99"/>
      <c r="K55" s="99"/>
    </row>
    <row r="56" spans="1:13" s="94" customFormat="1" ht="25.5" customHeight="1" x14ac:dyDescent="0.2">
      <c r="A56" s="173"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2018.  When raises are entered, the year indicated on the pay charts should match the year of the latest raise.</v>
      </c>
      <c r="B56" s="173"/>
      <c r="C56" s="173"/>
      <c r="D56" s="173"/>
      <c r="E56" s="173"/>
      <c r="F56" s="173"/>
      <c r="G56" s="173"/>
      <c r="H56" s="173"/>
      <c r="I56" s="173"/>
      <c r="J56" s="173"/>
      <c r="K56" s="173"/>
      <c r="L56" s="173"/>
      <c r="M56" s="173"/>
    </row>
    <row r="57" spans="1:13" x14ac:dyDescent="0.2">
      <c r="A57" s="55"/>
    </row>
    <row r="58" spans="1:13" x14ac:dyDescent="0.2">
      <c r="A58" s="56" t="s">
        <v>34</v>
      </c>
      <c r="B58" s="56" t="s">
        <v>45</v>
      </c>
      <c r="C58" s="56" t="s">
        <v>34</v>
      </c>
      <c r="D58" s="56" t="s">
        <v>45</v>
      </c>
      <c r="G58" s="89"/>
      <c r="H58" s="48" t="s">
        <v>77</v>
      </c>
      <c r="I58" s="56" t="s">
        <v>34</v>
      </c>
      <c r="J58" s="56" t="s">
        <v>45</v>
      </c>
    </row>
    <row r="59" spans="1:13" x14ac:dyDescent="0.2">
      <c r="A59" s="57">
        <f>'GS Pay Calculator'!B2+1</f>
        <v>2019</v>
      </c>
      <c r="B59" s="111">
        <v>0</v>
      </c>
      <c r="C59" s="57">
        <f>A59+1</f>
        <v>2020</v>
      </c>
      <c r="D59" s="111">
        <v>0</v>
      </c>
      <c r="F59" s="53"/>
      <c r="I59" s="57">
        <v>2008</v>
      </c>
      <c r="J59" s="95">
        <v>3.5</v>
      </c>
    </row>
    <row r="60" spans="1:13" x14ac:dyDescent="0.2">
      <c r="A60" s="57">
        <f>A59+2</f>
        <v>2021</v>
      </c>
      <c r="B60" s="111">
        <v>0</v>
      </c>
      <c r="C60" s="57">
        <f>C59+2</f>
        <v>2022</v>
      </c>
      <c r="D60" s="111">
        <v>0</v>
      </c>
      <c r="F60" s="53"/>
      <c r="I60" s="57">
        <v>2009</v>
      </c>
      <c r="J60" s="95">
        <v>3.9</v>
      </c>
    </row>
    <row r="61" spans="1:13" x14ac:dyDescent="0.2">
      <c r="A61" s="57">
        <f>A60+2</f>
        <v>2023</v>
      </c>
      <c r="B61" s="111">
        <v>0</v>
      </c>
      <c r="C61" s="57">
        <f>C60+2</f>
        <v>2024</v>
      </c>
      <c r="D61" s="111">
        <v>0</v>
      </c>
      <c r="F61" s="53"/>
      <c r="I61" s="57">
        <v>2010</v>
      </c>
      <c r="J61" s="95">
        <v>2</v>
      </c>
    </row>
    <row r="62" spans="1:13" x14ac:dyDescent="0.2">
      <c r="A62" s="57">
        <f>A61+2</f>
        <v>2025</v>
      </c>
      <c r="B62" s="111">
        <v>0</v>
      </c>
      <c r="C62" s="57">
        <f>C61+2</f>
        <v>2026</v>
      </c>
      <c r="D62" s="111">
        <v>0</v>
      </c>
      <c r="F62" s="53"/>
      <c r="I62" s="57">
        <v>2011</v>
      </c>
      <c r="J62" s="95">
        <v>0</v>
      </c>
    </row>
    <row r="63" spans="1:13" hidden="1" x14ac:dyDescent="0.2">
      <c r="A63" s="90" t="s">
        <v>70</v>
      </c>
      <c r="B63" s="160"/>
      <c r="C63" s="58">
        <f>IF(D62&gt;0,C62,IF(B62&gt;0,A62,IF(D61&gt;0,C61,IF(B61&gt;0,A61,IF(D60&gt;0,C60,IF(B60&gt;0,A60,IF(D59&gt;0,C59,IF(B59&gt;0,A59,'GS Pay Calculator'!B2))))))))</f>
        <v>2018</v>
      </c>
      <c r="D63" s="160"/>
      <c r="F63" s="53"/>
    </row>
    <row r="64" spans="1:13" x14ac:dyDescent="0.2">
      <c r="A64" s="90"/>
      <c r="B64" s="160"/>
      <c r="C64" s="58"/>
      <c r="D64" s="160"/>
      <c r="F64" s="53"/>
    </row>
    <row r="65" spans="1:13" hidden="1" x14ac:dyDescent="0.2">
      <c r="A65" s="52" t="s">
        <v>103</v>
      </c>
      <c r="C65" s="159">
        <v>26</v>
      </c>
      <c r="E65" s="51"/>
      <c r="F65" s="50"/>
    </row>
    <row r="66" spans="1:13" ht="51" customHeight="1" x14ac:dyDescent="0.2">
      <c r="A66" s="163" t="s">
        <v>92</v>
      </c>
      <c r="B66" s="163"/>
      <c r="C66" s="163"/>
      <c r="D66" s="163"/>
      <c r="E66" s="163"/>
      <c r="F66" s="163"/>
      <c r="G66" s="163"/>
      <c r="H66" s="163"/>
      <c r="I66" s="163"/>
      <c r="J66" s="163"/>
      <c r="K66" s="163"/>
      <c r="L66" s="163"/>
      <c r="M66" s="163"/>
    </row>
    <row r="67" spans="1:13" x14ac:dyDescent="0.2">
      <c r="A67" s="52"/>
      <c r="C67" s="54"/>
      <c r="E67" s="51"/>
    </row>
    <row r="68" spans="1:13" ht="63.75" customHeight="1" x14ac:dyDescent="0.2">
      <c r="A68" s="163" t="s">
        <v>131</v>
      </c>
      <c r="B68" s="163"/>
      <c r="C68" s="163"/>
      <c r="D68" s="163"/>
      <c r="E68" s="163"/>
      <c r="F68" s="163"/>
      <c r="G68" s="163"/>
      <c r="H68" s="163"/>
      <c r="I68" s="163"/>
      <c r="J68" s="163"/>
      <c r="K68" s="163"/>
      <c r="L68" s="163"/>
      <c r="M68" s="163"/>
    </row>
    <row r="69" spans="1:13" x14ac:dyDescent="0.2">
      <c r="A69" s="52" t="s">
        <v>19</v>
      </c>
      <c r="C69" s="54"/>
      <c r="E69" s="51"/>
    </row>
    <row r="70" spans="1:13" x14ac:dyDescent="0.2">
      <c r="A70" s="52"/>
      <c r="C70" s="54"/>
      <c r="E70" s="51"/>
    </row>
    <row r="71" spans="1:13" x14ac:dyDescent="0.2">
      <c r="C71" s="54"/>
      <c r="E71" s="51"/>
    </row>
    <row r="72" spans="1:13" x14ac:dyDescent="0.2">
      <c r="A72" s="52"/>
      <c r="C72" s="54"/>
      <c r="E72" s="51"/>
    </row>
    <row r="73" spans="1:13" x14ac:dyDescent="0.2">
      <c r="A73" s="52"/>
    </row>
  </sheetData>
  <sheetProtection password="CCE4" sheet="1" objects="1" scenarios="1"/>
  <mergeCells count="29">
    <mergeCell ref="A50:M50"/>
    <mergeCell ref="D48:E48"/>
    <mergeCell ref="G48:M48"/>
    <mergeCell ref="A43:H43"/>
    <mergeCell ref="C46:G46"/>
    <mergeCell ref="H46:M46"/>
    <mergeCell ref="A48:B48"/>
    <mergeCell ref="A68:M68"/>
    <mergeCell ref="A56:M56"/>
    <mergeCell ref="A66:M66"/>
    <mergeCell ref="A52:B52"/>
    <mergeCell ref="A54:M54"/>
    <mergeCell ref="D52:E52"/>
    <mergeCell ref="G52:M52"/>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s>
  <phoneticPr fontId="0" type="noConversion"/>
  <dataValidations count="6">
    <dataValidation type="decimal" allowBlank="1" showInputMessage="1" showErrorMessage="1" error="Enter a raise between 0 &amp; 20" sqref="B59:B62 D59:D62">
      <formula1>0</formula1>
      <formula2>20</formula2>
    </dataValidation>
    <dataValidation type="decimal" allowBlank="1" showInputMessage="1" showErrorMessage="1" error="Make sure you enter the locality rate as a number between 0 and 50, and don't enter a % sign." sqref="H49 H51">
      <formula1>0</formula1>
      <formula2>50</formula2>
    </dataValidation>
    <dataValidation type="list" allowBlank="1" showInputMessage="1" showErrorMessage="1" sqref="C31">
      <formula1>Shift</formula1>
    </dataValidation>
    <dataValidation type="list" allowBlank="1" showInputMessage="1" showErrorMessage="1" sqref="C33">
      <formula1>Inspectors</formula1>
    </dataValidation>
    <dataValidation type="list" allowBlank="1" showInputMessage="1" showErrorMessage="1" sqref="C46:G46">
      <formula1>Locality</formula1>
    </dataValidation>
    <dataValidation type="list" allowBlank="1" showInputMessage="1" showErrorMessage="1" sqref="E39">
      <formula1>Post</formula1>
    </dataValidation>
  </dataValidations>
  <hyperlinks>
    <hyperlink ref="A2" r:id="rId1"/>
    <hyperlink ref="A2:H2" r:id="rId2" display="Developed by Anthony J. Fanchi"/>
    <hyperlink ref="I43" r:id="rId3"/>
    <hyperlink ref="K43" r:id="rId4" location="url=Overview"/>
    <hyperlink ref="C19:K19" location="'.'!H26" display="I don't need to read all this stuff!  Take me to the pay charts!"/>
    <hyperlink ref="F27:H27" location="'Pay Retention &amp; Special Rates'!D3" display="Pay Retention &amp; Special Rates"/>
    <hyperlink ref="A2:M2" r:id="rId5" display="Developed by Anthony J. Fanchi"/>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election activeCell="B3" sqref="B3"/>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2"/>
      <c r="C1" s="183"/>
      <c r="D1" s="183"/>
      <c r="E1" s="183"/>
      <c r="F1" s="183"/>
      <c r="G1" s="183"/>
      <c r="H1" s="183"/>
      <c r="I1" s="183"/>
      <c r="J1" s="183"/>
      <c r="K1" s="183"/>
    </row>
    <row r="2" spans="1:11" s="1" customFormat="1" x14ac:dyDescent="0.2">
      <c r="A2" s="3" t="s">
        <v>29</v>
      </c>
      <c r="B2" s="65">
        <v>2018</v>
      </c>
      <c r="C2" s="65" t="s">
        <v>47</v>
      </c>
      <c r="D2" s="65">
        <f>B2+1</f>
        <v>2019</v>
      </c>
      <c r="E2" s="65" t="s">
        <v>47</v>
      </c>
      <c r="F2" s="65">
        <f>D2+1</f>
        <v>2020</v>
      </c>
      <c r="G2" s="65" t="s">
        <v>47</v>
      </c>
      <c r="H2" s="65">
        <f>F2+1</f>
        <v>2021</v>
      </c>
      <c r="I2" s="66" t="s">
        <v>47</v>
      </c>
      <c r="J2" s="65">
        <f>H2+1</f>
        <v>2022</v>
      </c>
      <c r="K2" s="65" t="s">
        <v>47</v>
      </c>
    </row>
    <row r="3" spans="1:11" s="1" customFormat="1" x14ac:dyDescent="0.2">
      <c r="A3" s="67" t="s">
        <v>48</v>
      </c>
      <c r="B3" s="80">
        <v>23045</v>
      </c>
      <c r="C3" s="81">
        <v>768</v>
      </c>
      <c r="D3" s="69">
        <f t="shared" ref="D3:E14" si="0">ROUND(B3+(B3*$K$17),0)</f>
        <v>23045</v>
      </c>
      <c r="E3" s="69">
        <f t="shared" si="0"/>
        <v>768</v>
      </c>
      <c r="F3" s="69">
        <f t="shared" ref="F3:G14" si="1">ROUND(D3+(D3*$K$18),0)</f>
        <v>23045</v>
      </c>
      <c r="G3" s="69">
        <f t="shared" si="1"/>
        <v>768</v>
      </c>
      <c r="H3" s="69">
        <f t="shared" ref="H3:I14" si="2">ROUND(F3+(F3*$K$19),0)</f>
        <v>23045</v>
      </c>
      <c r="I3" s="69">
        <f t="shared" si="2"/>
        <v>768</v>
      </c>
      <c r="J3" s="69">
        <f t="shared" ref="J3:K14" si="3">ROUND(H3+(H3*$K$20),0)</f>
        <v>23045</v>
      </c>
      <c r="K3" s="69">
        <f t="shared" si="3"/>
        <v>768</v>
      </c>
    </row>
    <row r="4" spans="1:11" s="1" customFormat="1" x14ac:dyDescent="0.2">
      <c r="A4" s="70" t="s">
        <v>49</v>
      </c>
      <c r="B4" s="80">
        <v>25871</v>
      </c>
      <c r="C4" s="81">
        <v>862</v>
      </c>
      <c r="D4" s="69">
        <f t="shared" si="0"/>
        <v>25871</v>
      </c>
      <c r="E4" s="69">
        <f t="shared" si="0"/>
        <v>862</v>
      </c>
      <c r="F4" s="69">
        <f t="shared" si="1"/>
        <v>25871</v>
      </c>
      <c r="G4" s="69">
        <f t="shared" si="1"/>
        <v>862</v>
      </c>
      <c r="H4" s="69">
        <f t="shared" si="2"/>
        <v>25871</v>
      </c>
      <c r="I4" s="69">
        <f t="shared" si="2"/>
        <v>862</v>
      </c>
      <c r="J4" s="69">
        <f t="shared" si="3"/>
        <v>25871</v>
      </c>
      <c r="K4" s="69">
        <f t="shared" si="3"/>
        <v>862</v>
      </c>
    </row>
    <row r="5" spans="1:11" s="1" customFormat="1" x14ac:dyDescent="0.2">
      <c r="A5" s="67" t="s">
        <v>50</v>
      </c>
      <c r="B5" s="80">
        <v>28945</v>
      </c>
      <c r="C5" s="81">
        <v>965</v>
      </c>
      <c r="D5" s="69">
        <f t="shared" si="0"/>
        <v>28945</v>
      </c>
      <c r="E5" s="69">
        <f t="shared" si="0"/>
        <v>965</v>
      </c>
      <c r="F5" s="69">
        <f t="shared" si="1"/>
        <v>28945</v>
      </c>
      <c r="G5" s="69">
        <f t="shared" si="1"/>
        <v>965</v>
      </c>
      <c r="H5" s="69">
        <f t="shared" si="2"/>
        <v>28945</v>
      </c>
      <c r="I5" s="69">
        <f t="shared" si="2"/>
        <v>965</v>
      </c>
      <c r="J5" s="69">
        <f t="shared" si="3"/>
        <v>28945</v>
      </c>
      <c r="K5" s="69">
        <f t="shared" si="3"/>
        <v>965</v>
      </c>
    </row>
    <row r="6" spans="1:11" s="1" customFormat="1" x14ac:dyDescent="0.2">
      <c r="A6" s="70" t="s">
        <v>51</v>
      </c>
      <c r="B6" s="80">
        <v>32264</v>
      </c>
      <c r="C6" s="81">
        <v>1075</v>
      </c>
      <c r="D6" s="69">
        <f t="shared" si="0"/>
        <v>32264</v>
      </c>
      <c r="E6" s="69">
        <f t="shared" si="0"/>
        <v>1075</v>
      </c>
      <c r="F6" s="69">
        <f t="shared" si="1"/>
        <v>32264</v>
      </c>
      <c r="G6" s="69">
        <f t="shared" si="1"/>
        <v>1075</v>
      </c>
      <c r="H6" s="69">
        <f t="shared" si="2"/>
        <v>32264</v>
      </c>
      <c r="I6" s="69">
        <f t="shared" si="2"/>
        <v>1075</v>
      </c>
      <c r="J6" s="69">
        <f t="shared" si="3"/>
        <v>32264</v>
      </c>
      <c r="K6" s="69">
        <f t="shared" si="3"/>
        <v>1075</v>
      </c>
    </row>
    <row r="7" spans="1:11" s="1" customFormat="1" x14ac:dyDescent="0.2">
      <c r="A7" s="67" t="s">
        <v>52</v>
      </c>
      <c r="B7" s="80">
        <v>35854</v>
      </c>
      <c r="C7" s="81">
        <v>1195</v>
      </c>
      <c r="D7" s="69">
        <f t="shared" si="0"/>
        <v>35854</v>
      </c>
      <c r="E7" s="69">
        <f t="shared" si="0"/>
        <v>1195</v>
      </c>
      <c r="F7" s="69">
        <f t="shared" si="1"/>
        <v>35854</v>
      </c>
      <c r="G7" s="69">
        <f t="shared" si="1"/>
        <v>1195</v>
      </c>
      <c r="H7" s="69">
        <f t="shared" si="2"/>
        <v>35854</v>
      </c>
      <c r="I7" s="69">
        <f t="shared" si="2"/>
        <v>1195</v>
      </c>
      <c r="J7" s="69">
        <f t="shared" si="3"/>
        <v>35854</v>
      </c>
      <c r="K7" s="69">
        <f t="shared" si="3"/>
        <v>1195</v>
      </c>
    </row>
    <row r="8" spans="1:11" s="1" customFormat="1" x14ac:dyDescent="0.2">
      <c r="A8" s="70" t="s">
        <v>53</v>
      </c>
      <c r="B8" s="80">
        <v>39707</v>
      </c>
      <c r="C8" s="81">
        <v>1324</v>
      </c>
      <c r="D8" s="69">
        <f t="shared" si="0"/>
        <v>39707</v>
      </c>
      <c r="E8" s="69">
        <f t="shared" si="0"/>
        <v>1324</v>
      </c>
      <c r="F8" s="69">
        <f t="shared" si="1"/>
        <v>39707</v>
      </c>
      <c r="G8" s="69">
        <f t="shared" si="1"/>
        <v>1324</v>
      </c>
      <c r="H8" s="69">
        <f t="shared" si="2"/>
        <v>39707</v>
      </c>
      <c r="I8" s="69">
        <f t="shared" si="2"/>
        <v>1324</v>
      </c>
      <c r="J8" s="69">
        <f t="shared" si="3"/>
        <v>39707</v>
      </c>
      <c r="K8" s="69">
        <f t="shared" si="3"/>
        <v>1324</v>
      </c>
    </row>
    <row r="9" spans="1:11" s="1" customFormat="1" x14ac:dyDescent="0.2">
      <c r="A9" s="67" t="s">
        <v>54</v>
      </c>
      <c r="B9" s="80">
        <v>43857</v>
      </c>
      <c r="C9" s="81">
        <v>1462</v>
      </c>
      <c r="D9" s="69">
        <f t="shared" si="0"/>
        <v>43857</v>
      </c>
      <c r="E9" s="69">
        <f t="shared" si="0"/>
        <v>1462</v>
      </c>
      <c r="F9" s="69">
        <f t="shared" si="1"/>
        <v>43857</v>
      </c>
      <c r="G9" s="69">
        <f t="shared" si="1"/>
        <v>1462</v>
      </c>
      <c r="H9" s="69">
        <f t="shared" si="2"/>
        <v>43857</v>
      </c>
      <c r="I9" s="69">
        <f t="shared" si="2"/>
        <v>1462</v>
      </c>
      <c r="J9" s="69">
        <f t="shared" si="3"/>
        <v>43857</v>
      </c>
      <c r="K9" s="69">
        <f t="shared" si="3"/>
        <v>1462</v>
      </c>
    </row>
    <row r="10" spans="1:11" s="1" customFormat="1" x14ac:dyDescent="0.2">
      <c r="A10" s="70" t="s">
        <v>55</v>
      </c>
      <c r="B10" s="80">
        <v>48297</v>
      </c>
      <c r="C10" s="81">
        <v>1610</v>
      </c>
      <c r="D10" s="69">
        <f t="shared" si="0"/>
        <v>48297</v>
      </c>
      <c r="E10" s="69">
        <f t="shared" si="0"/>
        <v>1610</v>
      </c>
      <c r="F10" s="69">
        <f t="shared" si="1"/>
        <v>48297</v>
      </c>
      <c r="G10" s="69">
        <f t="shared" si="1"/>
        <v>1610</v>
      </c>
      <c r="H10" s="69">
        <f t="shared" si="2"/>
        <v>48297</v>
      </c>
      <c r="I10" s="69">
        <f t="shared" si="2"/>
        <v>1610</v>
      </c>
      <c r="J10" s="69">
        <f t="shared" si="3"/>
        <v>48297</v>
      </c>
      <c r="K10" s="69">
        <f t="shared" si="3"/>
        <v>1610</v>
      </c>
    </row>
    <row r="11" spans="1:11" s="1" customFormat="1" x14ac:dyDescent="0.2">
      <c r="A11" s="67" t="s">
        <v>56</v>
      </c>
      <c r="B11" s="80">
        <v>53062</v>
      </c>
      <c r="C11" s="81">
        <v>1769</v>
      </c>
      <c r="D11" s="69">
        <f t="shared" si="0"/>
        <v>53062</v>
      </c>
      <c r="E11" s="69">
        <f t="shared" si="0"/>
        <v>1769</v>
      </c>
      <c r="F11" s="69">
        <f t="shared" si="1"/>
        <v>53062</v>
      </c>
      <c r="G11" s="69">
        <f t="shared" si="1"/>
        <v>1769</v>
      </c>
      <c r="H11" s="69">
        <f t="shared" si="2"/>
        <v>53062</v>
      </c>
      <c r="I11" s="69">
        <f t="shared" si="2"/>
        <v>1769</v>
      </c>
      <c r="J11" s="69">
        <f t="shared" si="3"/>
        <v>53062</v>
      </c>
      <c r="K11" s="69">
        <f t="shared" si="3"/>
        <v>1769</v>
      </c>
    </row>
    <row r="12" spans="1:11" s="1" customFormat="1" x14ac:dyDescent="0.2">
      <c r="A12" s="70" t="s">
        <v>57</v>
      </c>
      <c r="B12" s="80">
        <v>63600</v>
      </c>
      <c r="C12" s="81">
        <v>2120</v>
      </c>
      <c r="D12" s="69">
        <f t="shared" si="0"/>
        <v>63600</v>
      </c>
      <c r="E12" s="69">
        <f t="shared" si="0"/>
        <v>2120</v>
      </c>
      <c r="F12" s="69">
        <f t="shared" si="1"/>
        <v>63600</v>
      </c>
      <c r="G12" s="69">
        <f t="shared" si="1"/>
        <v>2120</v>
      </c>
      <c r="H12" s="69">
        <f t="shared" si="2"/>
        <v>63600</v>
      </c>
      <c r="I12" s="69">
        <f t="shared" si="2"/>
        <v>2120</v>
      </c>
      <c r="J12" s="69">
        <f t="shared" si="3"/>
        <v>63600</v>
      </c>
      <c r="K12" s="69">
        <f t="shared" si="3"/>
        <v>2120</v>
      </c>
    </row>
    <row r="13" spans="1:11" s="1" customFormat="1" x14ac:dyDescent="0.2">
      <c r="A13" s="72" t="s">
        <v>58</v>
      </c>
      <c r="B13" s="80">
        <v>75628</v>
      </c>
      <c r="C13" s="81">
        <v>2521</v>
      </c>
      <c r="D13" s="69">
        <f>ROUND(B13+(B13*$K$17),0)</f>
        <v>75628</v>
      </c>
      <c r="E13" s="69">
        <f>ROUND(C13+(C13*$K$17),0)</f>
        <v>2521</v>
      </c>
      <c r="F13" s="69">
        <f>ROUND(D13+(D13*$K$18),0)</f>
        <v>75628</v>
      </c>
      <c r="G13" s="69">
        <f>ROUND(E13+(E13*$K$18),0)</f>
        <v>2521</v>
      </c>
      <c r="H13" s="69">
        <f>ROUND(F13+(F13*$K$19),0)</f>
        <v>75628</v>
      </c>
      <c r="I13" s="69">
        <f>ROUND(G13+(G13*$K$19),0)</f>
        <v>2521</v>
      </c>
      <c r="J13" s="69">
        <f>ROUND(H13+(H13*$K$20),0)</f>
        <v>75628</v>
      </c>
      <c r="K13" s="69">
        <f>ROUND(I13+(I13*$K$20),0)</f>
        <v>2521</v>
      </c>
    </row>
    <row r="14" spans="1:11" s="1" customFormat="1" x14ac:dyDescent="0.2">
      <c r="A14" s="72" t="s">
        <v>119</v>
      </c>
      <c r="B14" s="80">
        <v>89370</v>
      </c>
      <c r="C14" s="81">
        <v>2979</v>
      </c>
      <c r="D14" s="69">
        <f t="shared" si="0"/>
        <v>89370</v>
      </c>
      <c r="E14" s="69">
        <f t="shared" si="0"/>
        <v>2979</v>
      </c>
      <c r="F14" s="69">
        <f t="shared" si="1"/>
        <v>89370</v>
      </c>
      <c r="G14" s="69">
        <f t="shared" si="1"/>
        <v>2979</v>
      </c>
      <c r="H14" s="69">
        <f t="shared" si="2"/>
        <v>89370</v>
      </c>
      <c r="I14" s="69">
        <f t="shared" si="2"/>
        <v>2979</v>
      </c>
      <c r="J14" s="69">
        <f t="shared" si="3"/>
        <v>89370</v>
      </c>
      <c r="K14" s="69">
        <f t="shared" si="3"/>
        <v>2979</v>
      </c>
    </row>
    <row r="15" spans="1:11" s="1" customFormat="1" x14ac:dyDescent="0.2">
      <c r="A15" s="73"/>
      <c r="B15" s="74"/>
      <c r="C15" s="74"/>
      <c r="D15" s="74"/>
      <c r="E15" s="74"/>
      <c r="F15" s="74"/>
      <c r="G15" s="74"/>
      <c r="H15" s="74"/>
      <c r="I15" s="74"/>
      <c r="J15" s="74"/>
      <c r="K15" s="75"/>
    </row>
    <row r="16" spans="1:11" x14ac:dyDescent="0.2">
      <c r="A16" s="3" t="s">
        <v>29</v>
      </c>
      <c r="B16" s="3">
        <f>J2+1</f>
        <v>2023</v>
      </c>
      <c r="C16" s="3" t="s">
        <v>47</v>
      </c>
      <c r="D16" s="65">
        <f>B16+1</f>
        <v>2024</v>
      </c>
      <c r="E16" s="3" t="s">
        <v>47</v>
      </c>
      <c r="F16" s="65">
        <f>D16+1</f>
        <v>2025</v>
      </c>
      <c r="G16" s="3" t="s">
        <v>47</v>
      </c>
      <c r="H16" s="65">
        <f>F16+1</f>
        <v>2026</v>
      </c>
      <c r="I16" s="3" t="s">
        <v>47</v>
      </c>
      <c r="J16" s="3" t="s">
        <v>59</v>
      </c>
      <c r="K16" s="3" t="s">
        <v>60</v>
      </c>
    </row>
    <row r="17" spans="1:11" x14ac:dyDescent="0.2">
      <c r="A17" s="67" t="s">
        <v>48</v>
      </c>
      <c r="B17" s="69">
        <f t="shared" ref="B17:B28" si="4">ROUND(J3+(J3*$K$21),0)</f>
        <v>23045</v>
      </c>
      <c r="C17" s="69">
        <f t="shared" ref="C17:C28" si="5">ROUND(K3+(K3*$K$21),0)</f>
        <v>768</v>
      </c>
      <c r="D17" s="69">
        <f t="shared" ref="D17:E28" si="6">ROUND(B17+(B17*$K$22),0)</f>
        <v>23045</v>
      </c>
      <c r="E17" s="69">
        <f t="shared" si="6"/>
        <v>768</v>
      </c>
      <c r="F17" s="69">
        <f t="shared" ref="F17:G28" si="7">ROUND(D17+(D17*$K$23),0)</f>
        <v>23045</v>
      </c>
      <c r="G17" s="69">
        <f t="shared" si="7"/>
        <v>768</v>
      </c>
      <c r="H17" s="69">
        <f t="shared" ref="H17:I28" si="8">ROUND(F17+(F17*$K$24),0)</f>
        <v>23045</v>
      </c>
      <c r="I17" s="69">
        <f t="shared" si="8"/>
        <v>768</v>
      </c>
      <c r="J17" s="76">
        <f>B2+1</f>
        <v>2019</v>
      </c>
      <c r="K17" s="77">
        <f>IF('Start Page'!B59="N/A",0,'Start Page'!B59)</f>
        <v>0</v>
      </c>
    </row>
    <row r="18" spans="1:11" x14ac:dyDescent="0.2">
      <c r="A18" s="70" t="s">
        <v>49</v>
      </c>
      <c r="B18" s="69">
        <f t="shared" si="4"/>
        <v>25871</v>
      </c>
      <c r="C18" s="69">
        <f t="shared" si="5"/>
        <v>862</v>
      </c>
      <c r="D18" s="69">
        <f t="shared" si="6"/>
        <v>25871</v>
      </c>
      <c r="E18" s="69">
        <f t="shared" si="6"/>
        <v>862</v>
      </c>
      <c r="F18" s="69">
        <f t="shared" si="7"/>
        <v>25871</v>
      </c>
      <c r="G18" s="69">
        <f t="shared" si="7"/>
        <v>862</v>
      </c>
      <c r="H18" s="69">
        <f t="shared" si="8"/>
        <v>25871</v>
      </c>
      <c r="I18" s="69">
        <f t="shared" si="8"/>
        <v>862</v>
      </c>
      <c r="J18" s="78">
        <f>J17+1</f>
        <v>2020</v>
      </c>
      <c r="K18" s="77">
        <f>IF('Start Page'!D59="N/A",0,'Start Page'!D59)</f>
        <v>0</v>
      </c>
    </row>
    <row r="19" spans="1:11" x14ac:dyDescent="0.2">
      <c r="A19" s="67" t="s">
        <v>50</v>
      </c>
      <c r="B19" s="69">
        <f t="shared" si="4"/>
        <v>28945</v>
      </c>
      <c r="C19" s="69">
        <f t="shared" si="5"/>
        <v>965</v>
      </c>
      <c r="D19" s="69">
        <f t="shared" si="6"/>
        <v>28945</v>
      </c>
      <c r="E19" s="69">
        <f t="shared" si="6"/>
        <v>965</v>
      </c>
      <c r="F19" s="69">
        <f t="shared" si="7"/>
        <v>28945</v>
      </c>
      <c r="G19" s="69">
        <f t="shared" si="7"/>
        <v>965</v>
      </c>
      <c r="H19" s="69">
        <f t="shared" si="8"/>
        <v>28945</v>
      </c>
      <c r="I19" s="69">
        <f t="shared" si="8"/>
        <v>965</v>
      </c>
      <c r="J19" s="78">
        <f t="shared" ref="J19:J24" si="9">J18+1</f>
        <v>2021</v>
      </c>
      <c r="K19" s="77">
        <f>IF('Start Page'!B60="N/A",0,'Start Page'!B60)</f>
        <v>0</v>
      </c>
    </row>
    <row r="20" spans="1:11" x14ac:dyDescent="0.2">
      <c r="A20" s="70" t="s">
        <v>51</v>
      </c>
      <c r="B20" s="69">
        <f t="shared" si="4"/>
        <v>32264</v>
      </c>
      <c r="C20" s="69">
        <f t="shared" si="5"/>
        <v>1075</v>
      </c>
      <c r="D20" s="69">
        <f t="shared" si="6"/>
        <v>32264</v>
      </c>
      <c r="E20" s="69">
        <f t="shared" si="6"/>
        <v>1075</v>
      </c>
      <c r="F20" s="69">
        <f t="shared" si="7"/>
        <v>32264</v>
      </c>
      <c r="G20" s="69">
        <f t="shared" si="7"/>
        <v>1075</v>
      </c>
      <c r="H20" s="69">
        <f t="shared" si="8"/>
        <v>32264</v>
      </c>
      <c r="I20" s="69">
        <f t="shared" si="8"/>
        <v>1075</v>
      </c>
      <c r="J20" s="78">
        <f t="shared" si="9"/>
        <v>2022</v>
      </c>
      <c r="K20" s="77">
        <f>IF('Start Page'!D60="N/A",0,'Start Page'!D60)</f>
        <v>0</v>
      </c>
    </row>
    <row r="21" spans="1:11" x14ac:dyDescent="0.2">
      <c r="A21" s="67" t="s">
        <v>52</v>
      </c>
      <c r="B21" s="69">
        <f t="shared" si="4"/>
        <v>35854</v>
      </c>
      <c r="C21" s="69">
        <f t="shared" si="5"/>
        <v>1195</v>
      </c>
      <c r="D21" s="69">
        <f t="shared" si="6"/>
        <v>35854</v>
      </c>
      <c r="E21" s="69">
        <f t="shared" si="6"/>
        <v>1195</v>
      </c>
      <c r="F21" s="69">
        <f t="shared" si="7"/>
        <v>35854</v>
      </c>
      <c r="G21" s="69">
        <f t="shared" si="7"/>
        <v>1195</v>
      </c>
      <c r="H21" s="69">
        <f t="shared" si="8"/>
        <v>35854</v>
      </c>
      <c r="I21" s="69">
        <f t="shared" si="8"/>
        <v>1195</v>
      </c>
      <c r="J21" s="78">
        <f t="shared" si="9"/>
        <v>2023</v>
      </c>
      <c r="K21" s="77">
        <f>IF('Start Page'!B61="N/A",0,'Start Page'!B61)</f>
        <v>0</v>
      </c>
    </row>
    <row r="22" spans="1:11" x14ac:dyDescent="0.2">
      <c r="A22" s="70" t="s">
        <v>53</v>
      </c>
      <c r="B22" s="69">
        <f t="shared" si="4"/>
        <v>39707</v>
      </c>
      <c r="C22" s="69">
        <f t="shared" si="5"/>
        <v>1324</v>
      </c>
      <c r="D22" s="69">
        <f t="shared" si="6"/>
        <v>39707</v>
      </c>
      <c r="E22" s="69">
        <f t="shared" si="6"/>
        <v>1324</v>
      </c>
      <c r="F22" s="69">
        <f t="shared" si="7"/>
        <v>39707</v>
      </c>
      <c r="G22" s="69">
        <f t="shared" si="7"/>
        <v>1324</v>
      </c>
      <c r="H22" s="69">
        <f t="shared" si="8"/>
        <v>39707</v>
      </c>
      <c r="I22" s="69">
        <f t="shared" si="8"/>
        <v>1324</v>
      </c>
      <c r="J22" s="78">
        <f t="shared" si="9"/>
        <v>2024</v>
      </c>
      <c r="K22" s="77">
        <f>IF('Start Page'!D61="N/A",0,'Start Page'!D61)</f>
        <v>0</v>
      </c>
    </row>
    <row r="23" spans="1:11" x14ac:dyDescent="0.2">
      <c r="A23" s="67" t="s">
        <v>54</v>
      </c>
      <c r="B23" s="69">
        <f t="shared" si="4"/>
        <v>43857</v>
      </c>
      <c r="C23" s="69">
        <f t="shared" si="5"/>
        <v>1462</v>
      </c>
      <c r="D23" s="69">
        <f t="shared" si="6"/>
        <v>43857</v>
      </c>
      <c r="E23" s="69">
        <f t="shared" si="6"/>
        <v>1462</v>
      </c>
      <c r="F23" s="69">
        <f t="shared" si="7"/>
        <v>43857</v>
      </c>
      <c r="G23" s="69">
        <f t="shared" si="7"/>
        <v>1462</v>
      </c>
      <c r="H23" s="69">
        <f t="shared" si="8"/>
        <v>43857</v>
      </c>
      <c r="I23" s="69">
        <f t="shared" si="8"/>
        <v>1462</v>
      </c>
      <c r="J23" s="78">
        <f t="shared" si="9"/>
        <v>2025</v>
      </c>
      <c r="K23" s="77">
        <f>IF('Start Page'!B62="N/A",0,'Start Page'!B62)</f>
        <v>0</v>
      </c>
    </row>
    <row r="24" spans="1:11" x14ac:dyDescent="0.2">
      <c r="A24" s="70" t="s">
        <v>55</v>
      </c>
      <c r="B24" s="69">
        <f t="shared" si="4"/>
        <v>48297</v>
      </c>
      <c r="C24" s="69">
        <f t="shared" si="5"/>
        <v>1610</v>
      </c>
      <c r="D24" s="69">
        <f t="shared" si="6"/>
        <v>48297</v>
      </c>
      <c r="E24" s="69">
        <f t="shared" si="6"/>
        <v>1610</v>
      </c>
      <c r="F24" s="69">
        <f t="shared" si="7"/>
        <v>48297</v>
      </c>
      <c r="G24" s="69">
        <f t="shared" si="7"/>
        <v>1610</v>
      </c>
      <c r="H24" s="69">
        <f t="shared" si="8"/>
        <v>48297</v>
      </c>
      <c r="I24" s="69">
        <f t="shared" si="8"/>
        <v>1610</v>
      </c>
      <c r="J24" s="78">
        <f t="shared" si="9"/>
        <v>2026</v>
      </c>
      <c r="K24" s="77">
        <f>IF('Start Page'!D62="N/A",0,'Start Page'!D62)</f>
        <v>0</v>
      </c>
    </row>
    <row r="25" spans="1:11" x14ac:dyDescent="0.2">
      <c r="A25" s="67" t="s">
        <v>56</v>
      </c>
      <c r="B25" s="69">
        <f t="shared" si="4"/>
        <v>53062</v>
      </c>
      <c r="C25" s="69">
        <f t="shared" si="5"/>
        <v>1769</v>
      </c>
      <c r="D25" s="69">
        <f t="shared" si="6"/>
        <v>53062</v>
      </c>
      <c r="E25" s="69">
        <f t="shared" si="6"/>
        <v>1769</v>
      </c>
      <c r="F25" s="69">
        <f t="shared" si="7"/>
        <v>53062</v>
      </c>
      <c r="G25" s="69">
        <f t="shared" si="7"/>
        <v>1769</v>
      </c>
      <c r="H25" s="69">
        <f t="shared" si="8"/>
        <v>53062</v>
      </c>
      <c r="I25" s="69">
        <f t="shared" si="8"/>
        <v>1769</v>
      </c>
      <c r="J25" s="68"/>
      <c r="K25" s="68"/>
    </row>
    <row r="26" spans="1:11" x14ac:dyDescent="0.2">
      <c r="A26" s="70" t="s">
        <v>57</v>
      </c>
      <c r="B26" s="69">
        <f t="shared" si="4"/>
        <v>63600</v>
      </c>
      <c r="C26" s="69">
        <f t="shared" si="5"/>
        <v>2120</v>
      </c>
      <c r="D26" s="69">
        <f t="shared" si="6"/>
        <v>63600</v>
      </c>
      <c r="E26" s="69">
        <f t="shared" si="6"/>
        <v>2120</v>
      </c>
      <c r="F26" s="69">
        <f t="shared" si="7"/>
        <v>63600</v>
      </c>
      <c r="G26" s="69">
        <f t="shared" si="7"/>
        <v>2120</v>
      </c>
      <c r="H26" s="69">
        <f t="shared" si="8"/>
        <v>63600</v>
      </c>
      <c r="I26" s="69">
        <f t="shared" si="8"/>
        <v>2120</v>
      </c>
      <c r="J26" s="71"/>
      <c r="K26" s="71"/>
    </row>
    <row r="27" spans="1:11" x14ac:dyDescent="0.2">
      <c r="A27" s="67" t="s">
        <v>58</v>
      </c>
      <c r="B27" s="69">
        <f t="shared" si="4"/>
        <v>75628</v>
      </c>
      <c r="C27" s="69">
        <f t="shared" si="5"/>
        <v>2521</v>
      </c>
      <c r="D27" s="69">
        <f>ROUND(B27+(B27*$K$22),0)</f>
        <v>75628</v>
      </c>
      <c r="E27" s="69">
        <f>ROUND(C27+(C27*$K$22),0)</f>
        <v>2521</v>
      </c>
      <c r="F27" s="69">
        <f>ROUND(D27+(D27*$K$23),0)</f>
        <v>75628</v>
      </c>
      <c r="G27" s="69">
        <f>ROUND(E27+(E27*$K$23),0)</f>
        <v>2521</v>
      </c>
      <c r="H27" s="69">
        <f>ROUND(F27+(F27*$K$24),0)</f>
        <v>75628</v>
      </c>
      <c r="I27" s="69">
        <f>ROUND(G27+(G27*$K$24),0)</f>
        <v>2521</v>
      </c>
      <c r="J27" s="71"/>
      <c r="K27" s="71"/>
    </row>
    <row r="28" spans="1:11" x14ac:dyDescent="0.2">
      <c r="A28" s="67" t="s">
        <v>119</v>
      </c>
      <c r="B28" s="69">
        <f t="shared" si="4"/>
        <v>89370</v>
      </c>
      <c r="C28" s="69">
        <f t="shared" si="5"/>
        <v>2979</v>
      </c>
      <c r="D28" s="69">
        <f t="shared" si="6"/>
        <v>89370</v>
      </c>
      <c r="E28" s="69">
        <f t="shared" si="6"/>
        <v>2979</v>
      </c>
      <c r="F28" s="69">
        <f t="shared" si="7"/>
        <v>89370</v>
      </c>
      <c r="G28" s="69">
        <f t="shared" si="7"/>
        <v>2979</v>
      </c>
      <c r="H28" s="69">
        <f t="shared" si="8"/>
        <v>89370</v>
      </c>
      <c r="I28" s="69">
        <f t="shared" si="8"/>
        <v>2979</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94</v>
      </c>
    </row>
    <row r="36" spans="1:1" x14ac:dyDescent="0.2">
      <c r="A36" s="115" t="s">
        <v>106</v>
      </c>
    </row>
    <row r="37" spans="1:1" x14ac:dyDescent="0.2">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84" t="s">
        <v>28</v>
      </c>
      <c r="C2" s="185"/>
      <c r="D2" s="185"/>
      <c r="E2" s="185"/>
      <c r="F2" s="185"/>
      <c r="G2" s="185"/>
      <c r="H2" s="185"/>
      <c r="I2" s="185"/>
      <c r="J2" s="185"/>
      <c r="K2" s="186"/>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23045</v>
      </c>
      <c r="C4" s="69">
        <f>B4+'GS Pay Calculator'!$I17</f>
        <v>23813</v>
      </c>
      <c r="D4" s="69">
        <f>C4+'GS Pay Calculator'!$I17</f>
        <v>24581</v>
      </c>
      <c r="E4" s="69">
        <f>D4+'GS Pay Calculator'!$I17</f>
        <v>25349</v>
      </c>
      <c r="F4" s="69">
        <f>E4+'GS Pay Calculator'!$I17</f>
        <v>26117</v>
      </c>
      <c r="G4" s="69">
        <f>F4+'GS Pay Calculator'!$I17</f>
        <v>26885</v>
      </c>
      <c r="H4" s="69">
        <f>G4+'GS Pay Calculator'!$I17</f>
        <v>27653</v>
      </c>
      <c r="I4" s="69">
        <f>H4+'GS Pay Calculator'!$I17</f>
        <v>28421</v>
      </c>
      <c r="J4" s="69">
        <f>I4+'GS Pay Calculator'!$I17</f>
        <v>29189</v>
      </c>
      <c r="K4" s="69">
        <f>J4+'GS Pay Calculator'!$I17</f>
        <v>29957</v>
      </c>
    </row>
    <row r="5" spans="1:11" s="1" customFormat="1" x14ac:dyDescent="0.2">
      <c r="A5" s="5">
        <v>4</v>
      </c>
      <c r="B5" s="69">
        <f>'GS Pay Calculator'!H18</f>
        <v>25871</v>
      </c>
      <c r="C5" s="69">
        <f>B5+'GS Pay Calculator'!$I18</f>
        <v>26733</v>
      </c>
      <c r="D5" s="69">
        <f>C5+'GS Pay Calculator'!$I18</f>
        <v>27595</v>
      </c>
      <c r="E5" s="69">
        <f>D5+'GS Pay Calculator'!$I18</f>
        <v>28457</v>
      </c>
      <c r="F5" s="69">
        <f>E5+'GS Pay Calculator'!$I18</f>
        <v>29319</v>
      </c>
      <c r="G5" s="69">
        <f>F5+'GS Pay Calculator'!$I18</f>
        <v>30181</v>
      </c>
      <c r="H5" s="69">
        <f>G5+'GS Pay Calculator'!$I18</f>
        <v>31043</v>
      </c>
      <c r="I5" s="69">
        <f>H5+'GS Pay Calculator'!$I18</f>
        <v>31905</v>
      </c>
      <c r="J5" s="69">
        <f>I5+'GS Pay Calculator'!$I18</f>
        <v>32767</v>
      </c>
      <c r="K5" s="69">
        <f>J5+'GS Pay Calculator'!$I18</f>
        <v>33629</v>
      </c>
    </row>
    <row r="6" spans="1:11" s="1" customFormat="1" x14ac:dyDescent="0.2">
      <c r="A6" s="5">
        <v>5</v>
      </c>
      <c r="B6" s="69">
        <f>'GS Pay Calculator'!H19</f>
        <v>28945</v>
      </c>
      <c r="C6" s="69">
        <f>B6+'GS Pay Calculator'!$I19</f>
        <v>29910</v>
      </c>
      <c r="D6" s="69">
        <f>C6+'GS Pay Calculator'!$I19</f>
        <v>30875</v>
      </c>
      <c r="E6" s="69">
        <f>D6+'GS Pay Calculator'!$I19</f>
        <v>31840</v>
      </c>
      <c r="F6" s="69">
        <f>E6+'GS Pay Calculator'!$I19</f>
        <v>32805</v>
      </c>
      <c r="G6" s="69">
        <f>F6+'GS Pay Calculator'!$I19</f>
        <v>33770</v>
      </c>
      <c r="H6" s="69">
        <f>G6+'GS Pay Calculator'!$I19</f>
        <v>34735</v>
      </c>
      <c r="I6" s="69">
        <f>H6+'GS Pay Calculator'!$I19</f>
        <v>35700</v>
      </c>
      <c r="J6" s="69">
        <f>I6+'GS Pay Calculator'!$I19</f>
        <v>36665</v>
      </c>
      <c r="K6" s="69">
        <f>J6+'GS Pay Calculator'!$I19</f>
        <v>37630</v>
      </c>
    </row>
    <row r="7" spans="1:11" s="1" customFormat="1" x14ac:dyDescent="0.2">
      <c r="A7" s="5">
        <v>6</v>
      </c>
      <c r="B7" s="69">
        <f>'GS Pay Calculator'!H20</f>
        <v>32264</v>
      </c>
      <c r="C7" s="69">
        <f>B7+'GS Pay Calculator'!$I20</f>
        <v>33339</v>
      </c>
      <c r="D7" s="69">
        <f>C7+'GS Pay Calculator'!$I20</f>
        <v>34414</v>
      </c>
      <c r="E7" s="69">
        <f>D7+'GS Pay Calculator'!$I20</f>
        <v>35489</v>
      </c>
      <c r="F7" s="69">
        <f>E7+'GS Pay Calculator'!$I20</f>
        <v>36564</v>
      </c>
      <c r="G7" s="69">
        <f>F7+'GS Pay Calculator'!$I20</f>
        <v>37639</v>
      </c>
      <c r="H7" s="69">
        <f>G7+'GS Pay Calculator'!$I20</f>
        <v>38714</v>
      </c>
      <c r="I7" s="69">
        <f>H7+'GS Pay Calculator'!$I20</f>
        <v>39789</v>
      </c>
      <c r="J7" s="69">
        <f>I7+'GS Pay Calculator'!$I20</f>
        <v>40864</v>
      </c>
      <c r="K7" s="69">
        <f>J7+'GS Pay Calculator'!$I20</f>
        <v>41939</v>
      </c>
    </row>
    <row r="8" spans="1:11" s="1" customFormat="1" x14ac:dyDescent="0.2">
      <c r="A8" s="5">
        <v>7</v>
      </c>
      <c r="B8" s="69">
        <f>'GS Pay Calculator'!H21</f>
        <v>35854</v>
      </c>
      <c r="C8" s="69">
        <f>B8+'GS Pay Calculator'!$I21</f>
        <v>37049</v>
      </c>
      <c r="D8" s="69">
        <f>C8+'GS Pay Calculator'!$I21</f>
        <v>38244</v>
      </c>
      <c r="E8" s="69">
        <f>D8+'GS Pay Calculator'!$I21</f>
        <v>39439</v>
      </c>
      <c r="F8" s="69">
        <f>E8+'GS Pay Calculator'!$I21</f>
        <v>40634</v>
      </c>
      <c r="G8" s="69">
        <f>F8+'GS Pay Calculator'!$I21</f>
        <v>41829</v>
      </c>
      <c r="H8" s="69">
        <f>G8+'GS Pay Calculator'!$I21</f>
        <v>43024</v>
      </c>
      <c r="I8" s="69">
        <f>H8+'GS Pay Calculator'!$I21</f>
        <v>44219</v>
      </c>
      <c r="J8" s="69">
        <f>I8+'GS Pay Calculator'!$I21</f>
        <v>45414</v>
      </c>
      <c r="K8" s="69">
        <f>J8+'GS Pay Calculator'!$I21</f>
        <v>46609</v>
      </c>
    </row>
    <row r="9" spans="1:11" s="1" customFormat="1" x14ac:dyDescent="0.2">
      <c r="A9" s="5">
        <v>8</v>
      </c>
      <c r="B9" s="69">
        <f>'GS Pay Calculator'!H22</f>
        <v>39707</v>
      </c>
      <c r="C9" s="69">
        <f>B9+'GS Pay Calculator'!$I22</f>
        <v>41031</v>
      </c>
      <c r="D9" s="69">
        <f>C9+'GS Pay Calculator'!$I22</f>
        <v>42355</v>
      </c>
      <c r="E9" s="69">
        <f>D9+'GS Pay Calculator'!$I22</f>
        <v>43679</v>
      </c>
      <c r="F9" s="69">
        <f>E9+'GS Pay Calculator'!$I22</f>
        <v>45003</v>
      </c>
      <c r="G9" s="69">
        <f>F9+'GS Pay Calculator'!$I22</f>
        <v>46327</v>
      </c>
      <c r="H9" s="69">
        <f>G9+'GS Pay Calculator'!$I22</f>
        <v>47651</v>
      </c>
      <c r="I9" s="69">
        <f>H9+'GS Pay Calculator'!$I22</f>
        <v>48975</v>
      </c>
      <c r="J9" s="69">
        <f>I9+'GS Pay Calculator'!$I22</f>
        <v>50299</v>
      </c>
      <c r="K9" s="69">
        <f>J9+'GS Pay Calculator'!$I22</f>
        <v>51623</v>
      </c>
    </row>
    <row r="10" spans="1:11" s="1" customFormat="1" x14ac:dyDescent="0.2">
      <c r="A10" s="5">
        <v>9</v>
      </c>
      <c r="B10" s="69">
        <f>'GS Pay Calculator'!H23</f>
        <v>43857</v>
      </c>
      <c r="C10" s="69">
        <f>B10+'GS Pay Calculator'!$I23</f>
        <v>45319</v>
      </c>
      <c r="D10" s="69">
        <f>C10+'GS Pay Calculator'!$I23</f>
        <v>46781</v>
      </c>
      <c r="E10" s="69">
        <f>D10+'GS Pay Calculator'!$I23</f>
        <v>48243</v>
      </c>
      <c r="F10" s="69">
        <f>E10+'GS Pay Calculator'!$I23</f>
        <v>49705</v>
      </c>
      <c r="G10" s="69">
        <f>F10+'GS Pay Calculator'!$I23</f>
        <v>51167</v>
      </c>
      <c r="H10" s="69">
        <f>G10+'GS Pay Calculator'!$I23</f>
        <v>52629</v>
      </c>
      <c r="I10" s="69">
        <f>H10+'GS Pay Calculator'!$I23</f>
        <v>54091</v>
      </c>
      <c r="J10" s="69">
        <f>I10+'GS Pay Calculator'!$I23</f>
        <v>55553</v>
      </c>
      <c r="K10" s="69">
        <f>J10+'GS Pay Calculator'!$I23</f>
        <v>57015</v>
      </c>
    </row>
    <row r="11" spans="1:11" s="1" customFormat="1" x14ac:dyDescent="0.2">
      <c r="A11" s="5">
        <v>10</v>
      </c>
      <c r="B11" s="69">
        <f>'GS Pay Calculator'!H24</f>
        <v>48297</v>
      </c>
      <c r="C11" s="69">
        <f>B11+'GS Pay Calculator'!$I24</f>
        <v>49907</v>
      </c>
      <c r="D11" s="69">
        <f>C11+'GS Pay Calculator'!$I24</f>
        <v>51517</v>
      </c>
      <c r="E11" s="69">
        <f>D11+'GS Pay Calculator'!$I24</f>
        <v>53127</v>
      </c>
      <c r="F11" s="69">
        <f>E11+'GS Pay Calculator'!$I24</f>
        <v>54737</v>
      </c>
      <c r="G11" s="69">
        <f>F11+'GS Pay Calculator'!$I24</f>
        <v>56347</v>
      </c>
      <c r="H11" s="69">
        <f>G11+'GS Pay Calculator'!$I24</f>
        <v>57957</v>
      </c>
      <c r="I11" s="69">
        <f>H11+'GS Pay Calculator'!$I24</f>
        <v>59567</v>
      </c>
      <c r="J11" s="69">
        <f>I11+'GS Pay Calculator'!$I24</f>
        <v>61177</v>
      </c>
      <c r="K11" s="69">
        <f>J11+'GS Pay Calculator'!$I24</f>
        <v>62787</v>
      </c>
    </row>
    <row r="12" spans="1:11" s="1" customFormat="1" x14ac:dyDescent="0.2">
      <c r="A12" s="5">
        <v>11</v>
      </c>
      <c r="B12" s="69">
        <f>'GS Pay Calculator'!H25</f>
        <v>53062</v>
      </c>
      <c r="C12" s="69">
        <f>B12+'GS Pay Calculator'!$I25</f>
        <v>54831</v>
      </c>
      <c r="D12" s="69">
        <f>C12+'GS Pay Calculator'!$I25</f>
        <v>56600</v>
      </c>
      <c r="E12" s="69">
        <f>D12+'GS Pay Calculator'!$I25</f>
        <v>58369</v>
      </c>
      <c r="F12" s="69">
        <f>E12+'GS Pay Calculator'!$I25</f>
        <v>60138</v>
      </c>
      <c r="G12" s="69">
        <f>F12+'GS Pay Calculator'!$I25</f>
        <v>61907</v>
      </c>
      <c r="H12" s="69">
        <f>G12+'GS Pay Calculator'!$I25</f>
        <v>63676</v>
      </c>
      <c r="I12" s="69">
        <f>H12+'GS Pay Calculator'!$I25</f>
        <v>65445</v>
      </c>
      <c r="J12" s="69">
        <f>I12+'GS Pay Calculator'!$I25</f>
        <v>67214</v>
      </c>
      <c r="K12" s="69">
        <f>J12+'GS Pay Calculator'!$I25</f>
        <v>68983</v>
      </c>
    </row>
    <row r="13" spans="1:11" s="1" customFormat="1" x14ac:dyDescent="0.2">
      <c r="A13" s="5">
        <v>12</v>
      </c>
      <c r="B13" s="69">
        <f>'GS Pay Calculator'!H26</f>
        <v>63600</v>
      </c>
      <c r="C13" s="69">
        <f>B13+'GS Pay Calculator'!$I26</f>
        <v>65720</v>
      </c>
      <c r="D13" s="69">
        <f>C13+'GS Pay Calculator'!$I26</f>
        <v>67840</v>
      </c>
      <c r="E13" s="69">
        <f>D13+'GS Pay Calculator'!$I26</f>
        <v>69960</v>
      </c>
      <c r="F13" s="69">
        <f>E13+'GS Pay Calculator'!$I26</f>
        <v>72080</v>
      </c>
      <c r="G13" s="69">
        <f>F13+'GS Pay Calculator'!$I26</f>
        <v>74200</v>
      </c>
      <c r="H13" s="69">
        <f>G13+'GS Pay Calculator'!$I26</f>
        <v>76320</v>
      </c>
      <c r="I13" s="69">
        <f>H13+'GS Pay Calculator'!$I26</f>
        <v>78440</v>
      </c>
      <c r="J13" s="69">
        <f>I13+'GS Pay Calculator'!$I26</f>
        <v>80560</v>
      </c>
      <c r="K13" s="69">
        <f>J13+'GS Pay Calculator'!$I26</f>
        <v>82680</v>
      </c>
    </row>
    <row r="14" spans="1:11" s="1" customFormat="1" x14ac:dyDescent="0.2">
      <c r="A14" s="5">
        <v>13</v>
      </c>
      <c r="B14" s="69">
        <f>'GS Pay Calculator'!H27</f>
        <v>75628</v>
      </c>
      <c r="C14" s="69">
        <f>B14+'GS Pay Calculator'!$I27</f>
        <v>78149</v>
      </c>
      <c r="D14" s="69">
        <f>C14+'GS Pay Calculator'!$I27</f>
        <v>80670</v>
      </c>
      <c r="E14" s="69">
        <f>D14+'GS Pay Calculator'!$I27</f>
        <v>83191</v>
      </c>
      <c r="F14" s="69">
        <f>E14+'GS Pay Calculator'!$I27</f>
        <v>85712</v>
      </c>
      <c r="G14" s="69">
        <f>F14+'GS Pay Calculator'!$I27</f>
        <v>88233</v>
      </c>
      <c r="H14" s="69">
        <f>G14+'GS Pay Calculator'!$I27</f>
        <v>90754</v>
      </c>
      <c r="I14" s="69">
        <f>H14+'GS Pay Calculator'!$I27</f>
        <v>93275</v>
      </c>
      <c r="J14" s="69">
        <f>I14+'GS Pay Calculator'!$I27</f>
        <v>95796</v>
      </c>
      <c r="K14" s="69">
        <f>J14+'GS Pay Calculator'!$I27</f>
        <v>98317</v>
      </c>
    </row>
    <row r="15" spans="1:11" s="1" customFormat="1" x14ac:dyDescent="0.2">
      <c r="A15" s="5">
        <v>14</v>
      </c>
      <c r="B15" s="69">
        <f>'GS Pay Calculator'!H28</f>
        <v>89370</v>
      </c>
      <c r="C15" s="69">
        <f>B15+'GS Pay Calculator'!$I28</f>
        <v>92349</v>
      </c>
      <c r="D15" s="69">
        <f>C15+'GS Pay Calculator'!$I28</f>
        <v>95328</v>
      </c>
      <c r="E15" s="69">
        <f>D15+'GS Pay Calculator'!$I28</f>
        <v>98307</v>
      </c>
      <c r="F15" s="69">
        <f>E15+'GS Pay Calculator'!$I28</f>
        <v>101286</v>
      </c>
      <c r="G15" s="69">
        <f>F15+'GS Pay Calculator'!$I28</f>
        <v>104265</v>
      </c>
      <c r="H15" s="69">
        <f>G15+'GS Pay Calculator'!$I28</f>
        <v>107244</v>
      </c>
      <c r="I15" s="69">
        <f>H15+'GS Pay Calculator'!$I28</f>
        <v>110223</v>
      </c>
      <c r="J15" s="69">
        <f>I15+'GS Pay Calculator'!$I28</f>
        <v>113202</v>
      </c>
      <c r="K15" s="69">
        <f>J15+'GS Pay Calculator'!$I28</f>
        <v>116181</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zoomScaleNormal="100" workbookViewId="0">
      <selection activeCell="B1" sqref="B1"/>
    </sheetView>
  </sheetViews>
  <sheetFormatPr defaultRowHeight="12.75" x14ac:dyDescent="0.2"/>
  <cols>
    <col min="1" max="1" width="50.5703125" customWidth="1"/>
    <col min="2" max="6" width="15.7109375" customWidth="1"/>
  </cols>
  <sheetData>
    <row r="1" spans="1:6" ht="15" customHeight="1" x14ac:dyDescent="0.2">
      <c r="A1" s="113" t="s">
        <v>117</v>
      </c>
      <c r="B1" s="113" t="s">
        <v>118</v>
      </c>
      <c r="C1" s="156" t="s">
        <v>93</v>
      </c>
      <c r="D1" s="158" t="s">
        <v>108</v>
      </c>
      <c r="E1" s="158" t="s">
        <v>109</v>
      </c>
      <c r="F1" s="158" t="s">
        <v>110</v>
      </c>
    </row>
    <row r="2" spans="1:6" ht="15" customHeight="1" x14ac:dyDescent="0.2">
      <c r="A2" s="114" t="s">
        <v>87</v>
      </c>
      <c r="B2" s="85">
        <v>0.1537</v>
      </c>
      <c r="C2" s="86">
        <f t="shared" ref="C2:C44" si="0">IF((E2+F2)&gt;0.25,0.25,E2+F2)</f>
        <v>0</v>
      </c>
      <c r="D2" s="86">
        <v>0</v>
      </c>
      <c r="E2" s="157">
        <f t="shared" ref="E2:E56" si="1">IF((ROUND(D2-(B2*0.65),4)/(1+B2))&lt;0,0,ROUND(D2-(B2*0.65),4)/(1+B2))</f>
        <v>0</v>
      </c>
      <c r="F2" s="157">
        <v>0</v>
      </c>
    </row>
    <row r="3" spans="1:6" ht="15" customHeight="1" x14ac:dyDescent="0.2">
      <c r="A3" s="114" t="s">
        <v>113</v>
      </c>
      <c r="B3" s="86">
        <v>0.2802</v>
      </c>
      <c r="C3" s="86">
        <f t="shared" si="0"/>
        <v>3.7416028745508513E-2</v>
      </c>
      <c r="D3" s="157">
        <v>0.23</v>
      </c>
      <c r="E3" s="157">
        <f>IF((ROUND(D3-(B3*0.65),4)/(1+B3))&lt;0,0,ROUND(D3-(B3*0.65),4)/(1+B3))</f>
        <v>3.7416028745508513E-2</v>
      </c>
      <c r="F3" s="157">
        <v>0</v>
      </c>
    </row>
    <row r="4" spans="1:6" ht="15" customHeight="1" x14ac:dyDescent="0.2">
      <c r="A4" s="114" t="s">
        <v>114</v>
      </c>
      <c r="B4" s="86">
        <v>0.2802</v>
      </c>
      <c r="C4" s="86">
        <f t="shared" si="0"/>
        <v>5.3038587720668648E-2</v>
      </c>
      <c r="D4" s="86">
        <v>0.25</v>
      </c>
      <c r="E4" s="86">
        <f>IF((ROUND(D4-(B4*0.65),4)/(1+B4))&lt;0,0,ROUND(D4-(B4*0.65),4)/(1+B4))</f>
        <v>5.3038587720668648E-2</v>
      </c>
      <c r="F4" s="86">
        <v>0</v>
      </c>
    </row>
    <row r="5" spans="1:6" ht="15" customHeight="1" x14ac:dyDescent="0.2">
      <c r="A5" s="114" t="s">
        <v>136</v>
      </c>
      <c r="B5" s="85">
        <v>0.16500000000000001</v>
      </c>
      <c r="C5" s="86">
        <f t="shared" si="0"/>
        <v>0</v>
      </c>
      <c r="D5" s="86">
        <v>0</v>
      </c>
      <c r="E5" s="157">
        <f t="shared" si="1"/>
        <v>0</v>
      </c>
      <c r="F5" s="157">
        <v>0</v>
      </c>
    </row>
    <row r="6" spans="1:6" ht="15" customHeight="1" x14ac:dyDescent="0.2">
      <c r="A6" s="114" t="s">
        <v>137</v>
      </c>
      <c r="B6" s="86">
        <v>0.15759999999999999</v>
      </c>
      <c r="C6" s="86">
        <f t="shared" si="0"/>
        <v>0</v>
      </c>
      <c r="D6" s="86">
        <v>0</v>
      </c>
      <c r="E6" s="157">
        <f t="shared" si="1"/>
        <v>0</v>
      </c>
      <c r="F6" s="157">
        <v>0</v>
      </c>
    </row>
    <row r="7" spans="1:6" ht="15" customHeight="1" x14ac:dyDescent="0.2">
      <c r="A7" s="114" t="s">
        <v>138</v>
      </c>
      <c r="B7" s="86">
        <v>0.21160000000000001</v>
      </c>
      <c r="C7" s="86">
        <f t="shared" si="0"/>
        <v>0</v>
      </c>
      <c r="D7" s="86">
        <v>0</v>
      </c>
      <c r="E7" s="157">
        <f t="shared" si="1"/>
        <v>0</v>
      </c>
      <c r="F7" s="157">
        <v>0</v>
      </c>
    </row>
    <row r="8" spans="1:6" ht="15" customHeight="1" x14ac:dyDescent="0.2">
      <c r="A8" s="114" t="s">
        <v>139</v>
      </c>
      <c r="B8" s="86">
        <v>0.1671</v>
      </c>
      <c r="C8" s="86">
        <f t="shared" si="0"/>
        <v>0</v>
      </c>
      <c r="D8" s="86">
        <v>0</v>
      </c>
      <c r="E8" s="157">
        <f t="shared" si="1"/>
        <v>0</v>
      </c>
      <c r="F8" s="157">
        <v>0</v>
      </c>
    </row>
    <row r="9" spans="1:6" ht="15" customHeight="1" x14ac:dyDescent="0.2">
      <c r="A9" s="114" t="s">
        <v>140</v>
      </c>
      <c r="B9" s="86">
        <v>0.27479999999999999</v>
      </c>
      <c r="C9" s="86">
        <f t="shared" si="0"/>
        <v>0</v>
      </c>
      <c r="D9" s="86">
        <v>0</v>
      </c>
      <c r="E9" s="157">
        <f t="shared" si="1"/>
        <v>0</v>
      </c>
      <c r="F9" s="157">
        <v>0</v>
      </c>
    </row>
    <row r="10" spans="1:6" ht="15" customHeight="1" x14ac:dyDescent="0.2">
      <c r="A10" s="114" t="s">
        <v>141</v>
      </c>
      <c r="B10" s="86">
        <v>0.1918</v>
      </c>
      <c r="C10" s="86">
        <f t="shared" si="0"/>
        <v>0</v>
      </c>
      <c r="D10" s="86">
        <v>0</v>
      </c>
      <c r="E10" s="157">
        <f t="shared" si="1"/>
        <v>0</v>
      </c>
      <c r="F10" s="157">
        <v>0</v>
      </c>
    </row>
    <row r="11" spans="1:6" ht="15" customHeight="1" x14ac:dyDescent="0.2">
      <c r="A11" s="114" t="s">
        <v>142</v>
      </c>
      <c r="B11" s="86">
        <v>0.16209999999999999</v>
      </c>
      <c r="C11" s="86">
        <f t="shared" si="0"/>
        <v>0</v>
      </c>
      <c r="D11" s="86">
        <v>0</v>
      </c>
      <c r="E11" s="157">
        <f t="shared" si="1"/>
        <v>0</v>
      </c>
      <c r="F11" s="157">
        <v>0</v>
      </c>
    </row>
    <row r="12" spans="1:6" ht="15" customHeight="1" x14ac:dyDescent="0.2">
      <c r="A12" s="114" t="s">
        <v>143</v>
      </c>
      <c r="B12" s="86">
        <v>0.2747</v>
      </c>
      <c r="C12" s="86">
        <f t="shared" si="0"/>
        <v>0</v>
      </c>
      <c r="D12" s="86">
        <v>0</v>
      </c>
      <c r="E12" s="157">
        <f t="shared" si="1"/>
        <v>0</v>
      </c>
      <c r="F12" s="157">
        <v>0</v>
      </c>
    </row>
    <row r="13" spans="1:6" ht="15" customHeight="1" x14ac:dyDescent="0.2">
      <c r="A13" s="114" t="s">
        <v>144</v>
      </c>
      <c r="B13" s="86">
        <v>0.19869999999999999</v>
      </c>
      <c r="C13" s="86">
        <f t="shared" si="0"/>
        <v>0</v>
      </c>
      <c r="D13" s="86">
        <v>0</v>
      </c>
      <c r="E13" s="157">
        <f t="shared" si="1"/>
        <v>0</v>
      </c>
      <c r="F13" s="157">
        <v>0</v>
      </c>
    </row>
    <row r="14" spans="1:6" ht="15" customHeight="1" x14ac:dyDescent="0.2">
      <c r="A14" s="114" t="s">
        <v>145</v>
      </c>
      <c r="B14" s="86">
        <v>0.20080000000000001</v>
      </c>
      <c r="C14" s="86">
        <f t="shared" si="0"/>
        <v>0</v>
      </c>
      <c r="D14" s="86">
        <v>0</v>
      </c>
      <c r="E14" s="157">
        <f t="shared" si="1"/>
        <v>0</v>
      </c>
      <c r="F14" s="157">
        <v>0</v>
      </c>
    </row>
    <row r="15" spans="1:6" ht="15" customHeight="1" x14ac:dyDescent="0.2">
      <c r="A15" s="114" t="s">
        <v>146</v>
      </c>
      <c r="B15" s="86">
        <v>0.16589999999999999</v>
      </c>
      <c r="C15" s="86">
        <f t="shared" si="0"/>
        <v>0</v>
      </c>
      <c r="D15" s="86">
        <v>0</v>
      </c>
      <c r="E15" s="157">
        <f t="shared" si="1"/>
        <v>0</v>
      </c>
      <c r="F15" s="157">
        <v>0</v>
      </c>
    </row>
    <row r="16" spans="1:6" ht="15" customHeight="1" x14ac:dyDescent="0.2">
      <c r="A16" s="114" t="s">
        <v>147</v>
      </c>
      <c r="B16" s="86">
        <v>0.18970000000000001</v>
      </c>
      <c r="C16" s="86">
        <f t="shared" si="0"/>
        <v>0</v>
      </c>
      <c r="D16" s="86">
        <v>0</v>
      </c>
      <c r="E16" s="157">
        <f t="shared" si="1"/>
        <v>0</v>
      </c>
      <c r="F16" s="157">
        <v>0</v>
      </c>
    </row>
    <row r="17" spans="1:6" ht="15" customHeight="1" x14ac:dyDescent="0.2">
      <c r="A17" s="114" t="s">
        <v>148</v>
      </c>
      <c r="B17" s="86">
        <v>0.23400000000000001</v>
      </c>
      <c r="C17" s="86">
        <f t="shared" ref="C17:C23" si="2">IF((E17+F17)&gt;0.25,0.25,E17+F17)</f>
        <v>0</v>
      </c>
      <c r="D17" s="86">
        <v>0</v>
      </c>
      <c r="E17" s="157">
        <f t="shared" ref="E17:E23" si="3">IF((ROUND(D17-(B17*0.65),4)/(1+B17))&lt;0,0,ROUND(D17-(B17*0.65),4)/(1+B17))</f>
        <v>0</v>
      </c>
      <c r="F17" s="157">
        <v>0</v>
      </c>
    </row>
    <row r="18" spans="1:6" ht="15" customHeight="1" x14ac:dyDescent="0.2">
      <c r="A18" s="114" t="s">
        <v>149</v>
      </c>
      <c r="B18" s="86">
        <v>0.1608</v>
      </c>
      <c r="C18" s="86">
        <f t="shared" si="2"/>
        <v>0</v>
      </c>
      <c r="D18" s="86">
        <v>0</v>
      </c>
      <c r="E18" s="157">
        <f t="shared" si="3"/>
        <v>0</v>
      </c>
      <c r="F18" s="157">
        <v>0</v>
      </c>
    </row>
    <row r="19" spans="1:6" ht="15" customHeight="1" x14ac:dyDescent="0.2">
      <c r="A19" s="114" t="s">
        <v>150</v>
      </c>
      <c r="B19" s="86">
        <v>0.18110000000000001</v>
      </c>
      <c r="C19" s="86">
        <f t="shared" si="2"/>
        <v>0</v>
      </c>
      <c r="D19" s="86">
        <v>0</v>
      </c>
      <c r="E19" s="157">
        <f t="shared" si="3"/>
        <v>0</v>
      </c>
      <c r="F19" s="157">
        <v>0</v>
      </c>
    </row>
    <row r="20" spans="1:6" ht="15" customHeight="1" x14ac:dyDescent="0.2">
      <c r="A20" s="114" t="s">
        <v>151</v>
      </c>
      <c r="B20" s="86">
        <v>0.25469999999999998</v>
      </c>
      <c r="C20" s="86">
        <f t="shared" si="2"/>
        <v>0</v>
      </c>
      <c r="D20" s="86">
        <v>0</v>
      </c>
      <c r="E20" s="157">
        <f t="shared" si="3"/>
        <v>0</v>
      </c>
      <c r="F20" s="157">
        <v>0</v>
      </c>
    </row>
    <row r="21" spans="1:6" ht="15" customHeight="1" x14ac:dyDescent="0.2">
      <c r="A21" s="114" t="s">
        <v>152</v>
      </c>
      <c r="B21" s="86">
        <v>0.26250000000000001</v>
      </c>
      <c r="C21" s="86">
        <f t="shared" si="2"/>
        <v>0</v>
      </c>
      <c r="D21" s="86">
        <v>0</v>
      </c>
      <c r="E21" s="157">
        <f t="shared" si="3"/>
        <v>0</v>
      </c>
      <c r="F21" s="157">
        <v>0</v>
      </c>
    </row>
    <row r="22" spans="1:6" ht="15" customHeight="1" x14ac:dyDescent="0.2">
      <c r="A22" s="114" t="s">
        <v>153</v>
      </c>
      <c r="B22" s="86">
        <v>0.1615</v>
      </c>
      <c r="C22" s="86">
        <f t="shared" si="2"/>
        <v>0</v>
      </c>
      <c r="D22" s="86">
        <v>0</v>
      </c>
      <c r="E22" s="157">
        <f t="shared" si="3"/>
        <v>0</v>
      </c>
      <c r="F22" s="157">
        <v>0</v>
      </c>
    </row>
    <row r="23" spans="1:6" ht="15" customHeight="1" x14ac:dyDescent="0.2">
      <c r="A23" s="114" t="s">
        <v>154</v>
      </c>
      <c r="B23" s="86">
        <v>0.28210000000000002</v>
      </c>
      <c r="C23" s="86">
        <f t="shared" si="2"/>
        <v>0</v>
      </c>
      <c r="D23" s="86">
        <v>0</v>
      </c>
      <c r="E23" s="157">
        <f t="shared" si="3"/>
        <v>0</v>
      </c>
      <c r="F23" s="157">
        <v>0</v>
      </c>
    </row>
    <row r="24" spans="1:6" ht="15" customHeight="1" x14ac:dyDescent="0.2">
      <c r="A24" s="114" t="s">
        <v>116</v>
      </c>
      <c r="B24" s="86">
        <v>0.18429999999999999</v>
      </c>
      <c r="C24" s="86">
        <f t="shared" si="0"/>
        <v>0.10993836021278394</v>
      </c>
      <c r="D24" s="86">
        <v>0.25</v>
      </c>
      <c r="E24" s="86">
        <f>IF((ROUND(D24-(B24*0.65),4)/(1+B24))&lt;0,0,ROUND(D24-(B24*0.65),4)/(1+B24))</f>
        <v>0.10993836021278394</v>
      </c>
      <c r="F24" s="86">
        <v>0</v>
      </c>
    </row>
    <row r="25" spans="1:6" ht="15" customHeight="1" x14ac:dyDescent="0.2">
      <c r="A25" s="114" t="s">
        <v>115</v>
      </c>
      <c r="B25" s="86">
        <v>0.18429999999999999</v>
      </c>
      <c r="C25" s="86">
        <f>IF((E25+F25)&gt;0.25,0.25,E25+F25)</f>
        <v>5.0831714937093646E-2</v>
      </c>
      <c r="D25" s="86">
        <v>0.18</v>
      </c>
      <c r="E25" s="86">
        <f>IF((ROUND(D25-(B25*0.65),4)/(1+B25))&lt;0,0,ROUND(D25-(B25*0.65),4)/(1+B25))</f>
        <v>5.0831714937093646E-2</v>
      </c>
      <c r="F25" s="86">
        <v>0</v>
      </c>
    </row>
    <row r="26" spans="1:6" ht="15" customHeight="1" x14ac:dyDescent="0.2">
      <c r="A26" s="114" t="s">
        <v>155</v>
      </c>
      <c r="B26" s="86">
        <v>0.31740000000000002</v>
      </c>
      <c r="C26" s="86">
        <f t="shared" si="0"/>
        <v>0</v>
      </c>
      <c r="D26" s="86">
        <v>0</v>
      </c>
      <c r="E26" s="157">
        <f t="shared" si="1"/>
        <v>0</v>
      </c>
      <c r="F26" s="157">
        <v>0</v>
      </c>
    </row>
    <row r="27" spans="1:6" ht="15" customHeight="1" x14ac:dyDescent="0.2">
      <c r="A27" s="114" t="s">
        <v>156</v>
      </c>
      <c r="B27" s="86">
        <v>0.18490000000000001</v>
      </c>
      <c r="C27" s="86">
        <f t="shared" si="0"/>
        <v>0</v>
      </c>
      <c r="D27" s="86">
        <v>0</v>
      </c>
      <c r="E27" s="157">
        <f t="shared" si="1"/>
        <v>0</v>
      </c>
      <c r="F27" s="157">
        <v>0</v>
      </c>
    </row>
    <row r="28" spans="1:6" ht="15" customHeight="1" x14ac:dyDescent="0.2">
      <c r="A28" s="114" t="s">
        <v>157</v>
      </c>
      <c r="B28" s="86">
        <v>0.1623</v>
      </c>
      <c r="C28" s="86">
        <f t="shared" si="0"/>
        <v>0</v>
      </c>
      <c r="D28" s="86">
        <v>0</v>
      </c>
      <c r="E28" s="157">
        <f t="shared" si="1"/>
        <v>0</v>
      </c>
      <c r="F28" s="157">
        <v>0</v>
      </c>
    </row>
    <row r="29" spans="1:6" ht="15" customHeight="1" x14ac:dyDescent="0.2">
      <c r="A29" s="114" t="s">
        <v>158</v>
      </c>
      <c r="B29" s="86">
        <v>0.161</v>
      </c>
      <c r="C29" s="86">
        <f t="shared" si="0"/>
        <v>0</v>
      </c>
      <c r="D29" s="86">
        <v>0</v>
      </c>
      <c r="E29" s="157">
        <f t="shared" si="1"/>
        <v>0</v>
      </c>
      <c r="F29" s="157">
        <v>0</v>
      </c>
    </row>
    <row r="30" spans="1:6" ht="15" customHeight="1" x14ac:dyDescent="0.2">
      <c r="A30" s="114" t="s">
        <v>159</v>
      </c>
      <c r="B30" s="86">
        <v>0.17399999999999999</v>
      </c>
      <c r="C30" s="86">
        <f t="shared" si="0"/>
        <v>0</v>
      </c>
      <c r="D30" s="86">
        <v>0</v>
      </c>
      <c r="E30" s="157">
        <f t="shared" si="1"/>
        <v>0</v>
      </c>
      <c r="F30" s="157">
        <v>0</v>
      </c>
    </row>
    <row r="31" spans="1:6" ht="15" customHeight="1" x14ac:dyDescent="0.2">
      <c r="A31" s="114" t="s">
        <v>160</v>
      </c>
      <c r="B31" s="86">
        <v>0.16489999999999999</v>
      </c>
      <c r="C31" s="86">
        <f t="shared" si="0"/>
        <v>0</v>
      </c>
      <c r="D31" s="86">
        <v>0</v>
      </c>
      <c r="E31" s="157">
        <f t="shared" si="1"/>
        <v>0</v>
      </c>
      <c r="F31" s="157">
        <v>0</v>
      </c>
    </row>
    <row r="32" spans="1:6" ht="15" customHeight="1" x14ac:dyDescent="0.2">
      <c r="A32" s="114" t="s">
        <v>161</v>
      </c>
      <c r="B32" s="86">
        <v>0.30570000000000003</v>
      </c>
      <c r="C32" s="86">
        <f t="shared" si="0"/>
        <v>0</v>
      </c>
      <c r="D32" s="86">
        <v>0</v>
      </c>
      <c r="E32" s="157">
        <f t="shared" si="1"/>
        <v>0</v>
      </c>
      <c r="F32" s="157">
        <v>0</v>
      </c>
    </row>
    <row r="33" spans="1:6" ht="15" customHeight="1" x14ac:dyDescent="0.2">
      <c r="A33" s="114" t="s">
        <v>162</v>
      </c>
      <c r="B33" s="86">
        <v>0.22639999999999999</v>
      </c>
      <c r="C33" s="86">
        <f t="shared" si="0"/>
        <v>0</v>
      </c>
      <c r="D33" s="86">
        <v>0</v>
      </c>
      <c r="E33" s="157">
        <f t="shared" si="1"/>
        <v>0</v>
      </c>
      <c r="F33" s="157">
        <v>0</v>
      </c>
    </row>
    <row r="34" spans="1:6" ht="15" customHeight="1" x14ac:dyDescent="0.2">
      <c r="A34" s="114" t="s">
        <v>163</v>
      </c>
      <c r="B34" s="86">
        <v>0.2014</v>
      </c>
      <c r="C34" s="86">
        <f t="shared" si="0"/>
        <v>0</v>
      </c>
      <c r="D34" s="86">
        <v>0</v>
      </c>
      <c r="E34" s="157">
        <f t="shared" si="1"/>
        <v>0</v>
      </c>
      <c r="F34" s="157">
        <v>0</v>
      </c>
    </row>
    <row r="35" spans="1:6" ht="15" customHeight="1" x14ac:dyDescent="0.2">
      <c r="A35" s="114" t="s">
        <v>164</v>
      </c>
      <c r="B35" s="86">
        <v>0.23369999999999999</v>
      </c>
      <c r="C35" s="86">
        <f t="shared" si="0"/>
        <v>0</v>
      </c>
      <c r="D35" s="86">
        <v>0</v>
      </c>
      <c r="E35" s="157">
        <f t="shared" si="1"/>
        <v>0</v>
      </c>
      <c r="F35" s="157">
        <v>0</v>
      </c>
    </row>
    <row r="36" spans="1:6" ht="15" customHeight="1" x14ac:dyDescent="0.2">
      <c r="A36" s="114" t="s">
        <v>165</v>
      </c>
      <c r="B36" s="86">
        <v>0.32129999999999997</v>
      </c>
      <c r="C36" s="86">
        <f t="shared" si="0"/>
        <v>0</v>
      </c>
      <c r="D36" s="86">
        <v>0</v>
      </c>
      <c r="E36" s="157">
        <f t="shared" si="1"/>
        <v>0</v>
      </c>
      <c r="F36" s="157">
        <v>0</v>
      </c>
    </row>
    <row r="37" spans="1:6" ht="15" customHeight="1" x14ac:dyDescent="0.2">
      <c r="A37" s="114" t="s">
        <v>166</v>
      </c>
      <c r="B37" s="86">
        <v>0.1593</v>
      </c>
      <c r="C37" s="86">
        <f t="shared" si="0"/>
        <v>0</v>
      </c>
      <c r="D37" s="86">
        <v>0</v>
      </c>
      <c r="E37" s="157">
        <f t="shared" si="1"/>
        <v>0</v>
      </c>
      <c r="F37" s="157">
        <v>0</v>
      </c>
    </row>
    <row r="38" spans="1:6" ht="15" customHeight="1" x14ac:dyDescent="0.2">
      <c r="A38" s="114" t="s">
        <v>167</v>
      </c>
      <c r="B38" s="86">
        <v>0.24590000000000001</v>
      </c>
      <c r="C38" s="86">
        <f t="shared" si="0"/>
        <v>0</v>
      </c>
      <c r="D38" s="86">
        <v>0</v>
      </c>
      <c r="E38" s="157">
        <f t="shared" si="1"/>
        <v>0</v>
      </c>
      <c r="F38" s="157">
        <v>0</v>
      </c>
    </row>
    <row r="39" spans="1:6" ht="15" customHeight="1" x14ac:dyDescent="0.2">
      <c r="A39" s="114" t="s">
        <v>168</v>
      </c>
      <c r="B39" s="86">
        <v>0.19089999999999999</v>
      </c>
      <c r="C39" s="86">
        <f t="shared" si="0"/>
        <v>0</v>
      </c>
      <c r="D39" s="86">
        <v>0</v>
      </c>
      <c r="E39" s="157">
        <f t="shared" si="1"/>
        <v>0</v>
      </c>
      <c r="F39" s="157">
        <v>0</v>
      </c>
    </row>
    <row r="40" spans="1:6" ht="15" customHeight="1" x14ac:dyDescent="0.2">
      <c r="A40" s="114" t="s">
        <v>169</v>
      </c>
      <c r="B40" s="86">
        <v>0.1835</v>
      </c>
      <c r="C40" s="86">
        <f t="shared" si="0"/>
        <v>0</v>
      </c>
      <c r="D40" s="86">
        <v>0</v>
      </c>
      <c r="E40" s="157">
        <f t="shared" si="1"/>
        <v>0</v>
      </c>
      <c r="F40" s="157">
        <v>0</v>
      </c>
    </row>
    <row r="41" spans="1:6" ht="15" customHeight="1" x14ac:dyDescent="0.2">
      <c r="A41" s="114" t="s">
        <v>170</v>
      </c>
      <c r="B41" s="86">
        <v>0.2253</v>
      </c>
      <c r="C41" s="86">
        <f t="shared" si="0"/>
        <v>0</v>
      </c>
      <c r="D41" s="86">
        <v>0</v>
      </c>
      <c r="E41" s="157">
        <f t="shared" si="1"/>
        <v>0</v>
      </c>
      <c r="F41" s="157">
        <v>0</v>
      </c>
    </row>
    <row r="42" spans="1:6" ht="15" customHeight="1" x14ac:dyDescent="0.2">
      <c r="A42" s="114" t="s">
        <v>171</v>
      </c>
      <c r="B42" s="86">
        <v>0.19520000000000001</v>
      </c>
      <c r="C42" s="86">
        <f t="shared" si="0"/>
        <v>0</v>
      </c>
      <c r="D42" s="86">
        <v>0</v>
      </c>
      <c r="E42" s="157">
        <f t="shared" si="1"/>
        <v>0</v>
      </c>
      <c r="F42" s="157">
        <v>0</v>
      </c>
    </row>
    <row r="43" spans="1:6" ht="15" customHeight="1" x14ac:dyDescent="0.2">
      <c r="A43" s="114" t="s">
        <v>172</v>
      </c>
      <c r="B43" s="86">
        <v>0.18790000000000001</v>
      </c>
      <c r="C43" s="86">
        <f t="shared" si="0"/>
        <v>0</v>
      </c>
      <c r="D43" s="86">
        <v>0</v>
      </c>
      <c r="E43" s="157">
        <f t="shared" si="1"/>
        <v>0</v>
      </c>
      <c r="F43" s="157">
        <v>0</v>
      </c>
    </row>
    <row r="44" spans="1:6" ht="15" customHeight="1" x14ac:dyDescent="0.2">
      <c r="A44" s="84" t="s">
        <v>173</v>
      </c>
      <c r="B44" s="86">
        <v>0.24859999999999999</v>
      </c>
      <c r="C44" s="86">
        <f t="shared" si="0"/>
        <v>0</v>
      </c>
      <c r="D44" s="86">
        <v>0</v>
      </c>
      <c r="E44" s="157">
        <f t="shared" si="1"/>
        <v>0</v>
      </c>
      <c r="F44" s="157">
        <v>0</v>
      </c>
    </row>
    <row r="45" spans="1:6" ht="15" customHeight="1" x14ac:dyDescent="0.2">
      <c r="A45" s="84" t="s">
        <v>174</v>
      </c>
      <c r="B45" s="86">
        <v>0.27879999999999999</v>
      </c>
      <c r="C45" s="86">
        <f t="shared" ref="C45:C50" si="4">IF((E45+F45)&gt;0.25,0.25,E45+F45)</f>
        <v>0</v>
      </c>
      <c r="D45" s="86">
        <v>0</v>
      </c>
      <c r="E45" s="157">
        <f t="shared" ref="E45:E50" si="5">IF((ROUND(D45-(B45*0.65),4)/(1+B45))&lt;0,0,ROUND(D45-(B45*0.65),4)/(1+B45))</f>
        <v>0</v>
      </c>
      <c r="F45" s="157">
        <v>0</v>
      </c>
    </row>
    <row r="46" spans="1:6" ht="15" customHeight="1" x14ac:dyDescent="0.2">
      <c r="A46" s="84" t="s">
        <v>175</v>
      </c>
      <c r="B46" s="86">
        <v>0.39279999999999998</v>
      </c>
      <c r="C46" s="86">
        <f t="shared" si="4"/>
        <v>0</v>
      </c>
      <c r="D46" s="86">
        <v>0</v>
      </c>
      <c r="E46" s="157">
        <f t="shared" si="5"/>
        <v>0</v>
      </c>
      <c r="F46" s="157">
        <v>0</v>
      </c>
    </row>
    <row r="47" spans="1:6" ht="15" customHeight="1" x14ac:dyDescent="0.2">
      <c r="A47" s="84" t="s">
        <v>176</v>
      </c>
      <c r="B47" s="86">
        <v>0.25109999999999999</v>
      </c>
      <c r="C47" s="86">
        <f t="shared" si="4"/>
        <v>0</v>
      </c>
      <c r="D47" s="86">
        <v>0</v>
      </c>
      <c r="E47" s="157">
        <f t="shared" si="5"/>
        <v>0</v>
      </c>
      <c r="F47" s="157">
        <v>0</v>
      </c>
    </row>
    <row r="48" spans="1:6" ht="15" customHeight="1" x14ac:dyDescent="0.2">
      <c r="A48" s="84" t="s">
        <v>177</v>
      </c>
      <c r="B48" s="86">
        <v>0.16470000000000001</v>
      </c>
      <c r="C48" s="86">
        <f t="shared" si="4"/>
        <v>0</v>
      </c>
      <c r="D48" s="86">
        <v>0</v>
      </c>
      <c r="E48" s="157">
        <f t="shared" si="5"/>
        <v>0</v>
      </c>
      <c r="F48" s="157">
        <v>0</v>
      </c>
    </row>
    <row r="49" spans="1:6" ht="15" customHeight="1" x14ac:dyDescent="0.2">
      <c r="A49" s="84" t="s">
        <v>178</v>
      </c>
      <c r="B49" s="86">
        <v>0.16170000000000001</v>
      </c>
      <c r="C49" s="86">
        <f t="shared" si="4"/>
        <v>0</v>
      </c>
      <c r="D49" s="86">
        <v>0</v>
      </c>
      <c r="E49" s="157">
        <f t="shared" si="5"/>
        <v>0</v>
      </c>
      <c r="F49" s="157">
        <v>0</v>
      </c>
    </row>
    <row r="50" spans="1:6" ht="15" customHeight="1" x14ac:dyDescent="0.2">
      <c r="A50" s="84" t="s">
        <v>179</v>
      </c>
      <c r="B50" s="86">
        <v>0.28220000000000001</v>
      </c>
      <c r="C50" s="86">
        <f t="shared" si="4"/>
        <v>0</v>
      </c>
      <c r="D50" s="86">
        <v>0</v>
      </c>
      <c r="E50" s="157">
        <f t="shared" si="5"/>
        <v>0</v>
      </c>
      <c r="F50" s="157">
        <v>0</v>
      </c>
    </row>
    <row r="51" spans="1:6" ht="15" customHeight="1" x14ac:dyDescent="0.2">
      <c r="A51" s="114" t="s">
        <v>65</v>
      </c>
      <c r="B51" s="85">
        <v>0.1537</v>
      </c>
      <c r="C51" s="86">
        <f t="shared" ref="C51:C56" si="6">IF((E51+F51)&gt;0.25,0.25,E51+F51)</f>
        <v>3.4757735979890785E-2</v>
      </c>
      <c r="D51" s="86">
        <v>0.14000000000000001</v>
      </c>
      <c r="E51" s="86">
        <f t="shared" si="1"/>
        <v>3.4757735979890785E-2</v>
      </c>
      <c r="F51" s="86">
        <v>0</v>
      </c>
    </row>
    <row r="52" spans="1:6" ht="15" customHeight="1" x14ac:dyDescent="0.2">
      <c r="A52" s="114" t="s">
        <v>63</v>
      </c>
      <c r="B52" s="85">
        <v>0.1537</v>
      </c>
      <c r="C52" s="86">
        <f t="shared" si="6"/>
        <v>0.13010314639854384</v>
      </c>
      <c r="D52" s="86">
        <v>0.25</v>
      </c>
      <c r="E52" s="86">
        <f t="shared" si="1"/>
        <v>0.13010314639854384</v>
      </c>
      <c r="F52" s="86">
        <v>0</v>
      </c>
    </row>
    <row r="53" spans="1:6" ht="15" customHeight="1" x14ac:dyDescent="0.2">
      <c r="A53" s="114" t="s">
        <v>81</v>
      </c>
      <c r="B53" s="85">
        <v>0.1537</v>
      </c>
      <c r="C53" s="86">
        <f t="shared" si="6"/>
        <v>0.25</v>
      </c>
      <c r="D53" s="86">
        <v>0</v>
      </c>
      <c r="E53" s="86">
        <f t="shared" si="1"/>
        <v>0</v>
      </c>
      <c r="F53" s="86">
        <v>0.25</v>
      </c>
    </row>
    <row r="54" spans="1:6" ht="15" customHeight="1" x14ac:dyDescent="0.2">
      <c r="A54" s="114" t="s">
        <v>82</v>
      </c>
      <c r="B54" s="85">
        <v>0.1537</v>
      </c>
      <c r="C54" s="86">
        <f t="shared" si="6"/>
        <v>0.25</v>
      </c>
      <c r="D54" s="86">
        <v>0</v>
      </c>
      <c r="E54" s="86">
        <f t="shared" si="1"/>
        <v>0</v>
      </c>
      <c r="F54" s="86">
        <v>0.25</v>
      </c>
    </row>
    <row r="55" spans="1:6" ht="15" customHeight="1" x14ac:dyDescent="0.2">
      <c r="A55" s="114" t="s">
        <v>83</v>
      </c>
      <c r="B55" s="85">
        <v>0.1537</v>
      </c>
      <c r="C55" s="86">
        <f t="shared" si="6"/>
        <v>0.25</v>
      </c>
      <c r="D55" s="86">
        <v>0</v>
      </c>
      <c r="E55" s="86">
        <f t="shared" si="1"/>
        <v>0</v>
      </c>
      <c r="F55" s="86">
        <v>0.25</v>
      </c>
    </row>
    <row r="56" spans="1:6" ht="15" customHeight="1" x14ac:dyDescent="0.2">
      <c r="A56" s="114" t="s">
        <v>64</v>
      </c>
      <c r="B56" s="85">
        <v>0.1537</v>
      </c>
      <c r="C56" s="86">
        <f t="shared" si="6"/>
        <v>0.25</v>
      </c>
      <c r="D56" s="86">
        <v>0.25</v>
      </c>
      <c r="E56" s="86">
        <f t="shared" si="1"/>
        <v>0.13010314639854384</v>
      </c>
      <c r="F56" s="86">
        <v>0.2</v>
      </c>
    </row>
    <row r="57" spans="1:6" ht="15" customHeight="1" x14ac:dyDescent="0.2">
      <c r="A57" s="114" t="s">
        <v>84</v>
      </c>
      <c r="B57" s="85">
        <v>0.1537</v>
      </c>
      <c r="C57" s="86">
        <f>IF((E57+F57)&gt;0.25,0.25,E57+F57)</f>
        <v>0.25</v>
      </c>
      <c r="D57" s="86">
        <v>0</v>
      </c>
      <c r="E57" s="86">
        <f>IF((ROUND(D57-(B57*0.65),4)/(1+B57))&lt;0,0,ROUND(D57-(B57*0.65),4)/(1+B57))</f>
        <v>0</v>
      </c>
      <c r="F57" s="86">
        <v>0.25</v>
      </c>
    </row>
    <row r="58" spans="1:6" ht="15" customHeight="1" x14ac:dyDescent="0.2">
      <c r="A58" s="114" t="s">
        <v>68</v>
      </c>
      <c r="B58" s="85">
        <v>0</v>
      </c>
      <c r="C58" s="86">
        <f>IF((E58+F58)&gt;0.25,0.25,E58+F58)</f>
        <v>0</v>
      </c>
      <c r="D58" s="86">
        <v>0</v>
      </c>
      <c r="E58" s="157">
        <f>IF((ROUND(D58-(B58*0.65),4)/(1+B58))&lt;0,0,ROUND(D58-(B58*0.65),4)/(1+B58))</f>
        <v>0</v>
      </c>
      <c r="F58" s="157">
        <v>0</v>
      </c>
    </row>
    <row r="60" spans="1:6" x14ac:dyDescent="0.2">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87" t="s">
        <v>122</v>
      </c>
      <c r="B1" s="187"/>
      <c r="C1" s="187"/>
      <c r="D1" s="187"/>
      <c r="E1" s="187"/>
      <c r="F1" s="187"/>
      <c r="G1" s="187"/>
      <c r="H1" s="187"/>
      <c r="I1" s="187"/>
    </row>
    <row r="2" spans="1:9" s="46" customFormat="1" ht="12.75" customHeight="1" x14ac:dyDescent="0.4">
      <c r="A2" s="126"/>
      <c r="B2" s="126"/>
      <c r="C2" s="126"/>
      <c r="D2" s="126"/>
      <c r="E2" s="126"/>
      <c r="F2" s="126"/>
      <c r="G2" s="126"/>
      <c r="H2" s="126"/>
      <c r="I2" s="126"/>
    </row>
    <row r="3" spans="1:9" x14ac:dyDescent="0.2">
      <c r="A3" s="131"/>
      <c r="B3" s="131"/>
      <c r="C3" s="131"/>
      <c r="D3" s="192" t="s">
        <v>95</v>
      </c>
      <c r="E3" s="192"/>
      <c r="F3" s="192"/>
      <c r="G3" s="131"/>
      <c r="H3" s="131"/>
    </row>
    <row r="4" spans="1:9" x14ac:dyDescent="0.2">
      <c r="A4" s="131"/>
      <c r="B4" s="131"/>
      <c r="C4" s="131"/>
      <c r="D4" s="125"/>
      <c r="E4" s="125"/>
      <c r="F4" s="125"/>
      <c r="G4" s="131"/>
      <c r="H4" s="131"/>
    </row>
    <row r="5" spans="1:9" ht="19.5" x14ac:dyDescent="0.3">
      <c r="A5" s="191" t="str">
        <f>"Locality/COLA Area: "&amp;'Start Page'!C46</f>
        <v>Locality/COLA Area: Rest of the United States</v>
      </c>
      <c r="B5" s="191"/>
      <c r="C5" s="191"/>
      <c r="D5" s="191"/>
      <c r="E5" s="191"/>
      <c r="F5" s="191"/>
      <c r="G5" s="191"/>
      <c r="H5" s="191"/>
      <c r="I5" s="191"/>
    </row>
    <row r="6" spans="1:9" ht="12.75" customHeight="1" x14ac:dyDescent="0.3">
      <c r="D6" s="7"/>
      <c r="E6" s="83"/>
      <c r="F6" s="10"/>
      <c r="G6" s="133"/>
      <c r="H6" s="133"/>
    </row>
    <row r="7" spans="1:9" x14ac:dyDescent="0.2">
      <c r="A7" s="188" t="s">
        <v>123</v>
      </c>
      <c r="B7" s="189"/>
      <c r="C7" s="189"/>
      <c r="D7" s="189"/>
      <c r="E7" s="189"/>
      <c r="F7" s="189"/>
      <c r="G7" s="189"/>
      <c r="H7" s="189"/>
      <c r="I7" s="189"/>
    </row>
    <row r="8" spans="1:9" x14ac:dyDescent="0.2">
      <c r="A8" s="127"/>
      <c r="B8" s="128"/>
      <c r="C8" s="128"/>
      <c r="D8" s="128"/>
      <c r="E8" s="128"/>
      <c r="F8" s="128"/>
      <c r="G8" s="128"/>
      <c r="H8" s="128"/>
      <c r="I8" s="128"/>
    </row>
    <row r="9" spans="1:9" ht="51" customHeight="1" x14ac:dyDescent="0.2">
      <c r="A9" s="193" t="s">
        <v>124</v>
      </c>
      <c r="B9" s="193"/>
      <c r="C9" s="193"/>
      <c r="D9" s="193"/>
      <c r="E9" s="193"/>
      <c r="F9" s="193"/>
      <c r="G9" s="193"/>
      <c r="H9" s="193"/>
      <c r="I9" s="193"/>
    </row>
    <row r="10" spans="1:9" x14ac:dyDescent="0.2">
      <c r="E10" s="132"/>
      <c r="G10" s="133"/>
      <c r="H10" s="133"/>
    </row>
    <row r="11" spans="1:9" s="52" customFormat="1" ht="25.5" customHeight="1" x14ac:dyDescent="0.2">
      <c r="A11" s="163" t="s">
        <v>125</v>
      </c>
      <c r="B11" s="163"/>
      <c r="C11" s="163"/>
      <c r="D11" s="163"/>
      <c r="E11" s="163"/>
      <c r="F11" s="163"/>
      <c r="G11" s="163"/>
      <c r="H11" s="163"/>
      <c r="I11" s="163"/>
    </row>
    <row r="12" spans="1:9" s="52" customFormat="1" x14ac:dyDescent="0.2">
      <c r="A12" s="123"/>
      <c r="B12" s="123"/>
      <c r="C12" s="123"/>
      <c r="D12" s="123"/>
      <c r="E12" s="123"/>
      <c r="F12" s="123"/>
      <c r="G12" s="123"/>
      <c r="H12" s="123"/>
      <c r="I12" s="123"/>
    </row>
    <row r="13" spans="1:9" s="52" customFormat="1" ht="25.5" customHeight="1" x14ac:dyDescent="0.2">
      <c r="A13" s="163" t="s">
        <v>130</v>
      </c>
      <c r="B13" s="163"/>
      <c r="C13" s="163"/>
      <c r="D13" s="163"/>
      <c r="E13" s="163"/>
      <c r="F13" s="163"/>
      <c r="G13" s="163"/>
      <c r="H13" s="163"/>
      <c r="I13" s="163"/>
    </row>
    <row r="14" spans="1:9" s="52" customFormat="1" x14ac:dyDescent="0.2">
      <c r="A14" s="47"/>
    </row>
    <row r="15" spans="1:9" s="52" customFormat="1" x14ac:dyDescent="0.2">
      <c r="A15" s="52" t="s">
        <v>100</v>
      </c>
      <c r="C15" s="129">
        <v>50000</v>
      </c>
      <c r="F15" s="50" t="str">
        <f>IF(C15&gt;0,"","Error!  I would like to think you are making something for your trouble.")</f>
        <v/>
      </c>
    </row>
    <row r="16" spans="1:9" s="52" customFormat="1" x14ac:dyDescent="0.2">
      <c r="A16" s="47"/>
    </row>
    <row r="17" spans="1:11" ht="18.75" x14ac:dyDescent="0.3">
      <c r="B17" s="190" t="s">
        <v>97</v>
      </c>
      <c r="C17" s="190"/>
      <c r="D17" s="190"/>
      <c r="E17" s="132"/>
      <c r="F17" s="190" t="s">
        <v>102</v>
      </c>
      <c r="G17" s="190"/>
      <c r="H17" s="190"/>
    </row>
    <row r="18" spans="1:11" x14ac:dyDescent="0.2">
      <c r="E18" s="125"/>
      <c r="F18" s="125"/>
      <c r="G18" s="125"/>
    </row>
    <row r="19" spans="1:11" x14ac:dyDescent="0.2">
      <c r="A19" s="46"/>
      <c r="B19" s="56" t="s">
        <v>43</v>
      </c>
      <c r="C19" s="56" t="s">
        <v>1</v>
      </c>
      <c r="D19" s="134" t="s">
        <v>101</v>
      </c>
      <c r="E19" s="46"/>
      <c r="F19" s="56" t="s">
        <v>43</v>
      </c>
      <c r="G19" s="56" t="s">
        <v>1</v>
      </c>
      <c r="H19" s="134" t="s">
        <v>101</v>
      </c>
      <c r="I19" s="46"/>
      <c r="J19" s="46"/>
      <c r="K19" s="46"/>
    </row>
    <row r="20" spans="1:11" ht="12.75" customHeight="1" x14ac:dyDescent="0.2">
      <c r="A20" s="46"/>
      <c r="B20" s="135"/>
      <c r="C20" s="136" t="s">
        <v>126</v>
      </c>
      <c r="D20" s="137">
        <f>ROUND($C$15+($C$15*'Start Page'!$C$48),0)</f>
        <v>57685</v>
      </c>
      <c r="E20" s="46"/>
      <c r="F20" s="135"/>
      <c r="G20" s="136" t="s">
        <v>126</v>
      </c>
      <c r="H20" s="137">
        <f>ROUND($C$15+($C$15*'Start Page'!$C$48),0)</f>
        <v>57685</v>
      </c>
      <c r="I20" s="46"/>
      <c r="J20" s="46"/>
      <c r="K20" s="46"/>
    </row>
    <row r="21" spans="1:11" x14ac:dyDescent="0.2">
      <c r="A21" s="46"/>
      <c r="B21" s="135">
        <v>106</v>
      </c>
      <c r="C21" s="139" t="s">
        <v>41</v>
      </c>
      <c r="D21" s="140">
        <f>D22*106</f>
        <v>2218.58</v>
      </c>
      <c r="E21" s="46"/>
      <c r="F21" s="135">
        <v>80</v>
      </c>
      <c r="G21" s="141" t="s">
        <v>127</v>
      </c>
      <c r="H21" s="142">
        <f>H22*80</f>
        <v>2211.1999999999998</v>
      </c>
      <c r="I21" s="46"/>
      <c r="J21" s="46"/>
      <c r="K21" s="46"/>
    </row>
    <row r="22" spans="1:11" x14ac:dyDescent="0.2">
      <c r="A22" s="46"/>
      <c r="B22" s="135"/>
      <c r="C22" s="139" t="s">
        <v>13</v>
      </c>
      <c r="D22" s="140">
        <f>ROUND(D20/2756,2)</f>
        <v>20.93</v>
      </c>
      <c r="E22" s="46"/>
      <c r="F22" s="135"/>
      <c r="G22" s="141" t="s">
        <v>128</v>
      </c>
      <c r="H22" s="143">
        <f>ROUND(H20/2087,2)</f>
        <v>27.64</v>
      </c>
      <c r="I22" s="46"/>
      <c r="J22" s="46"/>
      <c r="K22" s="46"/>
    </row>
    <row r="23" spans="1:11" x14ac:dyDescent="0.2">
      <c r="A23" s="46"/>
      <c r="B23" s="144">
        <f>('Start Page'!$C$31-53)*2</f>
        <v>38</v>
      </c>
      <c r="C23" s="139" t="s">
        <v>42</v>
      </c>
      <c r="D23" s="140">
        <f>D24*B23</f>
        <v>1193.2</v>
      </c>
      <c r="E23" s="46"/>
      <c r="F23" s="135">
        <v>26</v>
      </c>
      <c r="G23" s="138" t="s">
        <v>41</v>
      </c>
      <c r="H23" s="140">
        <f>H24*26</f>
        <v>544.17999999999995</v>
      </c>
      <c r="I23" s="46"/>
      <c r="J23" s="46"/>
      <c r="K23" s="46"/>
    </row>
    <row r="24" spans="1:11" x14ac:dyDescent="0.2">
      <c r="A24" s="46"/>
      <c r="B24" s="135"/>
      <c r="C24" s="139" t="s">
        <v>14</v>
      </c>
      <c r="D24" s="140">
        <f>IF(ROUND(D22*1.5,2)&lt;'Shift Firefighters'!$G$122,ROUND(D22*1.5,2),IF('Shift Firefighters'!$G$122&lt;D22,D22,'Shift Firefighters'!$G$122))</f>
        <v>31.4</v>
      </c>
      <c r="E24" s="46"/>
      <c r="F24" s="135"/>
      <c r="G24" s="138" t="s">
        <v>13</v>
      </c>
      <c r="H24" s="140">
        <f>ROUND(H20/2756,2)</f>
        <v>20.93</v>
      </c>
      <c r="I24" s="46"/>
      <c r="J24" s="46"/>
      <c r="K24" s="46"/>
    </row>
    <row r="25" spans="1:11" x14ac:dyDescent="0.2">
      <c r="A25" s="46"/>
      <c r="B25" s="145"/>
      <c r="C25" s="146" t="s">
        <v>46</v>
      </c>
      <c r="D25" s="140">
        <f>ROUND(D22*'Start Page'!$F$48,2)*B26</f>
        <v>0</v>
      </c>
      <c r="E25" s="46"/>
      <c r="F25" s="144">
        <f>('Start Page'!$C$33-53)*2</f>
        <v>14</v>
      </c>
      <c r="G25" s="138" t="s">
        <v>42</v>
      </c>
      <c r="H25" s="140">
        <f>H26*F25</f>
        <v>439.59999999999997</v>
      </c>
      <c r="I25" s="46"/>
      <c r="J25" s="46"/>
      <c r="K25" s="46"/>
    </row>
    <row r="26" spans="1:11" x14ac:dyDescent="0.2">
      <c r="A26" s="46"/>
      <c r="B26" s="135">
        <f>B21+B23</f>
        <v>144</v>
      </c>
      <c r="C26" s="147" t="s">
        <v>17</v>
      </c>
      <c r="D26" s="148">
        <f>D21+D23+D25</f>
        <v>3411.7799999999997</v>
      </c>
      <c r="E26" s="46"/>
      <c r="F26" s="135"/>
      <c r="G26" s="138" t="s">
        <v>14</v>
      </c>
      <c r="H26" s="140">
        <f>IF(ROUND(H24*1.5,2)&lt;'Shift Firefighters'!$G$122,ROUND(H24*1.5,2),IF('Shift Firefighters'!$G$122&lt;H24,H24,'Shift Firefighters'!$G$122))</f>
        <v>31.4</v>
      </c>
      <c r="I26" s="46"/>
      <c r="J26" s="46"/>
      <c r="K26" s="46"/>
    </row>
    <row r="27" spans="1:11" x14ac:dyDescent="0.2">
      <c r="A27" s="46"/>
      <c r="B27" s="135"/>
      <c r="C27" s="147" t="s">
        <v>33</v>
      </c>
      <c r="D27" s="148">
        <f>D26*'Start Page'!$C$65</f>
        <v>88706.28</v>
      </c>
      <c r="E27" s="46"/>
      <c r="F27" s="145"/>
      <c r="G27" s="141" t="s">
        <v>46</v>
      </c>
      <c r="H27" s="140">
        <f>(ROUND(H22*'Start Page'!$F$48,2)*80)+(ROUND(H24*'Start Page'!$F$48,2)*(F28-80))</f>
        <v>0</v>
      </c>
      <c r="I27" s="46"/>
      <c r="J27" s="46"/>
      <c r="K27" s="46"/>
    </row>
    <row r="28" spans="1:11" x14ac:dyDescent="0.2">
      <c r="A28" s="46"/>
      <c r="B28" s="149"/>
      <c r="C28" s="150" t="s">
        <v>71</v>
      </c>
      <c r="D28" s="151">
        <f>D22*B26*'Start Page'!$C$65</f>
        <v>78361.919999999998</v>
      </c>
      <c r="E28" s="46"/>
      <c r="F28" s="135">
        <f>F21+F23+F25</f>
        <v>120</v>
      </c>
      <c r="G28" s="152" t="s">
        <v>17</v>
      </c>
      <c r="H28" s="148">
        <f>H21+H23+H25+H27</f>
        <v>3194.9799999999996</v>
      </c>
      <c r="I28" s="46"/>
      <c r="J28" s="46"/>
      <c r="K28" s="46"/>
    </row>
    <row r="29" spans="1:11" x14ac:dyDescent="0.2">
      <c r="A29" s="46"/>
      <c r="B29" s="46"/>
      <c r="C29" s="46"/>
      <c r="D29" s="46"/>
      <c r="E29" s="46"/>
      <c r="F29" s="135"/>
      <c r="G29" s="152" t="s">
        <v>33</v>
      </c>
      <c r="H29" s="148">
        <f>H28*'Start Page'!$C$65</f>
        <v>83069.479999999981</v>
      </c>
      <c r="I29" s="46"/>
      <c r="J29" s="46"/>
      <c r="K29" s="46"/>
    </row>
    <row r="30" spans="1:11" x14ac:dyDescent="0.2">
      <c r="A30" s="46"/>
      <c r="B30" s="46"/>
      <c r="C30" s="46"/>
      <c r="D30" s="46"/>
      <c r="E30" s="46"/>
      <c r="F30" s="149"/>
      <c r="G30" s="150" t="s">
        <v>71</v>
      </c>
      <c r="H30" s="153">
        <f>((H22*80)+(H24*(F28-80)))*'Start Page'!$C$65</f>
        <v>79258.399999999994</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formula1>0</formula1>
      <formula2>200000</formula2>
    </dataValidation>
  </dataValidations>
  <hyperlinks>
    <hyperlink ref="D3" location="'Start Page'!C4" display="Return to Start Page"/>
    <hyperlink ref="D3:F3" location="'Start Page'!C19" display="Return to Start Page"/>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Page'!$C$63</f>
        <v>2018</v>
      </c>
      <c r="E1" s="9" t="s">
        <v>37</v>
      </c>
    </row>
    <row r="2" spans="1:11" s="7" customFormat="1" ht="25.5" customHeight="1" x14ac:dyDescent="0.25">
      <c r="A2" s="198" t="str">
        <f>"Locality/COLA Area: "&amp;'Start Page'!C46</f>
        <v>Locality/COLA Area: Rest of the United States</v>
      </c>
      <c r="B2" s="198"/>
      <c r="C2" s="198"/>
      <c r="D2" s="198"/>
      <c r="E2" s="198"/>
      <c r="F2" s="198"/>
      <c r="G2" s="198"/>
      <c r="H2" s="198"/>
      <c r="I2" s="198"/>
      <c r="J2" s="198"/>
      <c r="K2" s="198"/>
    </row>
    <row r="3" spans="1:11" x14ac:dyDescent="0.2">
      <c r="E3" s="38"/>
      <c r="F3" s="39" t="s">
        <v>67</v>
      </c>
      <c r="G3" s="82">
        <f>'Start Page'!C48</f>
        <v>0.1537</v>
      </c>
      <c r="H3" s="40"/>
    </row>
    <row r="4" spans="1:11" x14ac:dyDescent="0.2">
      <c r="E4" s="38"/>
      <c r="F4" s="39" t="s">
        <v>96</v>
      </c>
      <c r="G4" s="82">
        <f>'Start Page'!F48</f>
        <v>0</v>
      </c>
      <c r="H4" s="40"/>
    </row>
    <row r="5" spans="1:11" x14ac:dyDescent="0.2">
      <c r="E5" s="194" t="str">
        <f>IF(D1='GS Pay Calculator'!B2,"","Warning! These pay figures are now estimates only!")</f>
        <v/>
      </c>
      <c r="F5" s="194"/>
      <c r="G5" s="194"/>
      <c r="H5" s="194"/>
    </row>
    <row r="6" spans="1:11" x14ac:dyDescent="0.2">
      <c r="E6" s="38"/>
      <c r="F6" s="195" t="s">
        <v>95</v>
      </c>
      <c r="G6" s="195"/>
      <c r="H6" s="40"/>
    </row>
    <row r="7" spans="1:11" ht="12.75" customHeight="1" x14ac:dyDescent="0.2">
      <c r="A7" s="41" t="s">
        <v>27</v>
      </c>
      <c r="B7" s="196" t="s">
        <v>28</v>
      </c>
      <c r="C7" s="197"/>
      <c r="D7" s="197"/>
      <c r="E7" s="197"/>
      <c r="F7" s="197"/>
      <c r="G7" s="197"/>
      <c r="H7" s="197"/>
      <c r="I7" s="197"/>
      <c r="J7" s="197"/>
      <c r="K7" s="197"/>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26587</v>
      </c>
      <c r="C9" s="60">
        <f>ROUND('GS Pay - No Locality'!C4+('GS Pay - No Locality'!C4*$G$3),0)</f>
        <v>27473</v>
      </c>
      <c r="D9" s="60">
        <f>ROUND('GS Pay - No Locality'!D4+('GS Pay - No Locality'!D4*$G$3),0)</f>
        <v>28359</v>
      </c>
      <c r="E9" s="60">
        <f>ROUND('GS Pay - No Locality'!E4+('GS Pay - No Locality'!E4*$G$3),0)</f>
        <v>29245</v>
      </c>
      <c r="F9" s="60">
        <f>ROUND('GS Pay - No Locality'!F4+('GS Pay - No Locality'!F4*$G$3),0)</f>
        <v>30131</v>
      </c>
      <c r="G9" s="60">
        <f>ROUND('GS Pay - No Locality'!G4+('GS Pay - No Locality'!G4*$G$3),0)</f>
        <v>31017</v>
      </c>
      <c r="H9" s="60">
        <f>ROUND('GS Pay - No Locality'!H4+('GS Pay - No Locality'!H4*$G$3),0)</f>
        <v>31903</v>
      </c>
      <c r="I9" s="60">
        <f>ROUND('GS Pay - No Locality'!I4+('GS Pay - No Locality'!I4*$G$3),0)</f>
        <v>32789</v>
      </c>
      <c r="J9" s="60">
        <f>ROUND('GS Pay - No Locality'!J4+('GS Pay - No Locality'!J4*$G$3),0)</f>
        <v>33675</v>
      </c>
      <c r="K9" s="60">
        <f>ROUND('GS Pay - No Locality'!K4+('GS Pay - No Locality'!K4*$G$3),0)</f>
        <v>34561</v>
      </c>
    </row>
    <row r="10" spans="1:11" x14ac:dyDescent="0.2">
      <c r="A10" s="44">
        <v>4</v>
      </c>
      <c r="B10" s="60">
        <f>ROUND('GS Pay - No Locality'!B5+('GS Pay - No Locality'!B5*$G$3),0)</f>
        <v>29847</v>
      </c>
      <c r="C10" s="60">
        <f>ROUND('GS Pay - No Locality'!C5+('GS Pay - No Locality'!C5*$G$3),0)</f>
        <v>30842</v>
      </c>
      <c r="D10" s="60">
        <f>ROUND('GS Pay - No Locality'!D5+('GS Pay - No Locality'!D5*$G$3),0)</f>
        <v>31836</v>
      </c>
      <c r="E10" s="60">
        <f>ROUND('GS Pay - No Locality'!E5+('GS Pay - No Locality'!E5*$G$3),0)</f>
        <v>32831</v>
      </c>
      <c r="F10" s="60">
        <f>ROUND('GS Pay - No Locality'!F5+('GS Pay - No Locality'!F5*$G$3),0)</f>
        <v>33825</v>
      </c>
      <c r="G10" s="60">
        <f>ROUND('GS Pay - No Locality'!G5+('GS Pay - No Locality'!G5*$G$3),0)</f>
        <v>34820</v>
      </c>
      <c r="H10" s="60">
        <f>ROUND('GS Pay - No Locality'!H5+('GS Pay - No Locality'!H5*$G$3),0)</f>
        <v>35814</v>
      </c>
      <c r="I10" s="60">
        <f>ROUND('GS Pay - No Locality'!I5+('GS Pay - No Locality'!I5*$G$3),0)</f>
        <v>36809</v>
      </c>
      <c r="J10" s="60">
        <f>ROUND('GS Pay - No Locality'!J5+('GS Pay - No Locality'!J5*$G$3),0)</f>
        <v>37803</v>
      </c>
      <c r="K10" s="60">
        <f>ROUND('GS Pay - No Locality'!K5+('GS Pay - No Locality'!K5*$G$3),0)</f>
        <v>38798</v>
      </c>
    </row>
    <row r="11" spans="1:11" x14ac:dyDescent="0.2">
      <c r="A11" s="44">
        <v>5</v>
      </c>
      <c r="B11" s="60">
        <f>ROUND('GS Pay - No Locality'!B6+('GS Pay - No Locality'!B6*$G$3),0)</f>
        <v>33394</v>
      </c>
      <c r="C11" s="60">
        <f>ROUND('GS Pay - No Locality'!C6+('GS Pay - No Locality'!C6*$G$3),0)</f>
        <v>34507</v>
      </c>
      <c r="D11" s="60">
        <f>ROUND('GS Pay - No Locality'!D6+('GS Pay - No Locality'!D6*$G$3),0)</f>
        <v>35620</v>
      </c>
      <c r="E11" s="60">
        <f>ROUND('GS Pay - No Locality'!E6+('GS Pay - No Locality'!E6*$G$3),0)</f>
        <v>36734</v>
      </c>
      <c r="F11" s="60">
        <f>ROUND('GS Pay - No Locality'!F6+('GS Pay - No Locality'!F6*$G$3),0)</f>
        <v>37847</v>
      </c>
      <c r="G11" s="60">
        <f>ROUND('GS Pay - No Locality'!G6+('GS Pay - No Locality'!G6*$G$3),0)</f>
        <v>38960</v>
      </c>
      <c r="H11" s="60">
        <f>ROUND('GS Pay - No Locality'!H6+('GS Pay - No Locality'!H6*$G$3),0)</f>
        <v>40074</v>
      </c>
      <c r="I11" s="60">
        <f>ROUND('GS Pay - No Locality'!I6+('GS Pay - No Locality'!I6*$G$3),0)</f>
        <v>41187</v>
      </c>
      <c r="J11" s="60">
        <f>ROUND('GS Pay - No Locality'!J6+('GS Pay - No Locality'!J6*$G$3),0)</f>
        <v>42300</v>
      </c>
      <c r="K11" s="60">
        <f>ROUND('GS Pay - No Locality'!K6+('GS Pay - No Locality'!K6*$G$3),0)</f>
        <v>43414</v>
      </c>
    </row>
    <row r="12" spans="1:11" x14ac:dyDescent="0.2">
      <c r="A12" s="44">
        <v>6</v>
      </c>
      <c r="B12" s="60">
        <f>ROUND('GS Pay - No Locality'!B7+('GS Pay - No Locality'!B7*$G$3),0)</f>
        <v>37223</v>
      </c>
      <c r="C12" s="60">
        <f>ROUND('GS Pay - No Locality'!C7+('GS Pay - No Locality'!C7*$G$3),0)</f>
        <v>38463</v>
      </c>
      <c r="D12" s="60">
        <f>ROUND('GS Pay - No Locality'!D7+('GS Pay - No Locality'!D7*$G$3),0)</f>
        <v>39703</v>
      </c>
      <c r="E12" s="60">
        <f>ROUND('GS Pay - No Locality'!E7+('GS Pay - No Locality'!E7*$G$3),0)</f>
        <v>40944</v>
      </c>
      <c r="F12" s="60">
        <f>ROUND('GS Pay - No Locality'!F7+('GS Pay - No Locality'!F7*$G$3),0)</f>
        <v>42184</v>
      </c>
      <c r="G12" s="60">
        <f>ROUND('GS Pay - No Locality'!G7+('GS Pay - No Locality'!G7*$G$3),0)</f>
        <v>43424</v>
      </c>
      <c r="H12" s="60">
        <f>ROUND('GS Pay - No Locality'!H7+('GS Pay - No Locality'!H7*$G$3),0)</f>
        <v>44664</v>
      </c>
      <c r="I12" s="60">
        <f>ROUND('GS Pay - No Locality'!I7+('GS Pay - No Locality'!I7*$G$3),0)</f>
        <v>45905</v>
      </c>
      <c r="J12" s="60">
        <f>ROUND('GS Pay - No Locality'!J7+('GS Pay - No Locality'!J7*$G$3),0)</f>
        <v>47145</v>
      </c>
      <c r="K12" s="60">
        <f>ROUND('GS Pay - No Locality'!K7+('GS Pay - No Locality'!K7*$G$3),0)</f>
        <v>48385</v>
      </c>
    </row>
    <row r="13" spans="1:11" x14ac:dyDescent="0.2">
      <c r="A13" s="44">
        <v>7</v>
      </c>
      <c r="B13" s="60">
        <f>ROUND('GS Pay - No Locality'!B8+('GS Pay - No Locality'!B8*$G$3),0)</f>
        <v>41365</v>
      </c>
      <c r="C13" s="60">
        <f>ROUND('GS Pay - No Locality'!C8+('GS Pay - No Locality'!C8*$G$3),0)</f>
        <v>42743</v>
      </c>
      <c r="D13" s="60">
        <f>ROUND('GS Pay - No Locality'!D8+('GS Pay - No Locality'!D8*$G$3),0)</f>
        <v>44122</v>
      </c>
      <c r="E13" s="60">
        <f>ROUND('GS Pay - No Locality'!E8+('GS Pay - No Locality'!E8*$G$3),0)</f>
        <v>45501</v>
      </c>
      <c r="F13" s="60">
        <f>ROUND('GS Pay - No Locality'!F8+('GS Pay - No Locality'!F8*$G$3),0)</f>
        <v>46879</v>
      </c>
      <c r="G13" s="60">
        <f>ROUND('GS Pay - No Locality'!G8+('GS Pay - No Locality'!G8*$G$3),0)</f>
        <v>48258</v>
      </c>
      <c r="H13" s="60">
        <f>ROUND('GS Pay - No Locality'!H8+('GS Pay - No Locality'!H8*$G$3),0)</f>
        <v>49637</v>
      </c>
      <c r="I13" s="60">
        <f>ROUND('GS Pay - No Locality'!I8+('GS Pay - No Locality'!I8*$G$3),0)</f>
        <v>51015</v>
      </c>
      <c r="J13" s="60">
        <f>ROUND('GS Pay - No Locality'!J8+('GS Pay - No Locality'!J8*$G$3),0)</f>
        <v>52394</v>
      </c>
      <c r="K13" s="60">
        <f>ROUND('GS Pay - No Locality'!K8+('GS Pay - No Locality'!K8*$G$3),0)</f>
        <v>53773</v>
      </c>
    </row>
    <row r="14" spans="1:11" x14ac:dyDescent="0.2">
      <c r="A14" s="44">
        <v>8</v>
      </c>
      <c r="B14" s="60">
        <f>ROUND('GS Pay - No Locality'!B9+('GS Pay - No Locality'!B9*$G$3),0)</f>
        <v>45810</v>
      </c>
      <c r="C14" s="60">
        <f>ROUND('GS Pay - No Locality'!C9+('GS Pay - No Locality'!C9*$G$3),0)</f>
        <v>47337</v>
      </c>
      <c r="D14" s="60">
        <f>ROUND('GS Pay - No Locality'!D9+('GS Pay - No Locality'!D9*$G$3),0)</f>
        <v>48865</v>
      </c>
      <c r="E14" s="60">
        <f>ROUND('GS Pay - No Locality'!E9+('GS Pay - No Locality'!E9*$G$3),0)</f>
        <v>50392</v>
      </c>
      <c r="F14" s="60">
        <f>ROUND('GS Pay - No Locality'!F9+('GS Pay - No Locality'!F9*$G$3),0)</f>
        <v>51920</v>
      </c>
      <c r="G14" s="60">
        <f>ROUND('GS Pay - No Locality'!G9+('GS Pay - No Locality'!G9*$G$3),0)</f>
        <v>53447</v>
      </c>
      <c r="H14" s="60">
        <f>ROUND('GS Pay - No Locality'!H9+('GS Pay - No Locality'!H9*$G$3),0)</f>
        <v>54975</v>
      </c>
      <c r="I14" s="60">
        <f>ROUND('GS Pay - No Locality'!I9+('GS Pay - No Locality'!I9*$G$3),0)</f>
        <v>56502</v>
      </c>
      <c r="J14" s="60">
        <f>ROUND('GS Pay - No Locality'!J9+('GS Pay - No Locality'!J9*$G$3),0)</f>
        <v>58030</v>
      </c>
      <c r="K14" s="60">
        <f>ROUND('GS Pay - No Locality'!K9+('GS Pay - No Locality'!K9*$G$3),0)</f>
        <v>59557</v>
      </c>
    </row>
    <row r="15" spans="1:11" x14ac:dyDescent="0.2">
      <c r="A15" s="44">
        <v>9</v>
      </c>
      <c r="B15" s="60">
        <f>ROUND('GS Pay - No Locality'!B10+('GS Pay - No Locality'!B10*$G$3),0)</f>
        <v>50598</v>
      </c>
      <c r="C15" s="60">
        <f>ROUND('GS Pay - No Locality'!C10+('GS Pay - No Locality'!C10*$G$3),0)</f>
        <v>52285</v>
      </c>
      <c r="D15" s="60">
        <f>ROUND('GS Pay - No Locality'!D10+('GS Pay - No Locality'!D10*$G$3),0)</f>
        <v>53971</v>
      </c>
      <c r="E15" s="60">
        <f>ROUND('GS Pay - No Locality'!E10+('GS Pay - No Locality'!E10*$G$3),0)</f>
        <v>55658</v>
      </c>
      <c r="F15" s="60">
        <f>ROUND('GS Pay - No Locality'!F10+('GS Pay - No Locality'!F10*$G$3),0)</f>
        <v>57345</v>
      </c>
      <c r="G15" s="60">
        <f>ROUND('GS Pay - No Locality'!G10+('GS Pay - No Locality'!G10*$G$3),0)</f>
        <v>59031</v>
      </c>
      <c r="H15" s="60">
        <f>ROUND('GS Pay - No Locality'!H10+('GS Pay - No Locality'!H10*$G$3),0)</f>
        <v>60718</v>
      </c>
      <c r="I15" s="60">
        <f>ROUND('GS Pay - No Locality'!I10+('GS Pay - No Locality'!I10*$G$3),0)</f>
        <v>62405</v>
      </c>
      <c r="J15" s="60">
        <f>ROUND('GS Pay - No Locality'!J10+('GS Pay - No Locality'!J10*$G$3),0)</f>
        <v>64091</v>
      </c>
      <c r="K15" s="60">
        <f>ROUND('GS Pay - No Locality'!K10+('GS Pay - No Locality'!K10*$G$3),0)</f>
        <v>65778</v>
      </c>
    </row>
    <row r="16" spans="1:11" x14ac:dyDescent="0.2">
      <c r="A16" s="44">
        <v>10</v>
      </c>
      <c r="B16" s="60">
        <f>ROUND('GS Pay - No Locality'!B11+('GS Pay - No Locality'!B11*$G$3),0)</f>
        <v>55720</v>
      </c>
      <c r="C16" s="60">
        <f>ROUND('GS Pay - No Locality'!C11+('GS Pay - No Locality'!C11*$G$3),0)</f>
        <v>57578</v>
      </c>
      <c r="D16" s="60">
        <f>ROUND('GS Pay - No Locality'!D11+('GS Pay - No Locality'!D11*$G$3),0)</f>
        <v>59435</v>
      </c>
      <c r="E16" s="60">
        <f>ROUND('GS Pay - No Locality'!E11+('GS Pay - No Locality'!E11*$G$3),0)</f>
        <v>61293</v>
      </c>
      <c r="F16" s="60">
        <f>ROUND('GS Pay - No Locality'!F11+('GS Pay - No Locality'!F11*$G$3),0)</f>
        <v>63150</v>
      </c>
      <c r="G16" s="60">
        <f>ROUND('GS Pay - No Locality'!G11+('GS Pay - No Locality'!G11*$G$3),0)</f>
        <v>65008</v>
      </c>
      <c r="H16" s="60">
        <f>ROUND('GS Pay - No Locality'!H11+('GS Pay - No Locality'!H11*$G$3),0)</f>
        <v>66865</v>
      </c>
      <c r="I16" s="60">
        <f>ROUND('GS Pay - No Locality'!I11+('GS Pay - No Locality'!I11*$G$3),0)</f>
        <v>68722</v>
      </c>
      <c r="J16" s="60">
        <f>ROUND('GS Pay - No Locality'!J11+('GS Pay - No Locality'!J11*$G$3),0)</f>
        <v>70580</v>
      </c>
      <c r="K16" s="60">
        <f>ROUND('GS Pay - No Locality'!K11+('GS Pay - No Locality'!K11*$G$3),0)</f>
        <v>72437</v>
      </c>
    </row>
    <row r="17" spans="1:11" x14ac:dyDescent="0.2">
      <c r="A17" s="44">
        <v>11</v>
      </c>
      <c r="B17" s="60">
        <f>ROUND('GS Pay - No Locality'!B12+('GS Pay - No Locality'!B12*$G$3),0)</f>
        <v>61218</v>
      </c>
      <c r="C17" s="60">
        <f>ROUND('GS Pay - No Locality'!C12+('GS Pay - No Locality'!C12*$G$3),0)</f>
        <v>63259</v>
      </c>
      <c r="D17" s="60">
        <f>ROUND('GS Pay - No Locality'!D12+('GS Pay - No Locality'!D12*$G$3),0)</f>
        <v>65299</v>
      </c>
      <c r="E17" s="60">
        <f>ROUND('GS Pay - No Locality'!E12+('GS Pay - No Locality'!E12*$G$3),0)</f>
        <v>67340</v>
      </c>
      <c r="F17" s="60">
        <f>ROUND('GS Pay - No Locality'!F12+('GS Pay - No Locality'!F12*$G$3),0)</f>
        <v>69381</v>
      </c>
      <c r="G17" s="60">
        <f>ROUND('GS Pay - No Locality'!G12+('GS Pay - No Locality'!G12*$G$3),0)</f>
        <v>71422</v>
      </c>
      <c r="H17" s="60">
        <f>ROUND('GS Pay - No Locality'!H12+('GS Pay - No Locality'!H12*$G$3),0)</f>
        <v>73463</v>
      </c>
      <c r="I17" s="60">
        <f>ROUND('GS Pay - No Locality'!I12+('GS Pay - No Locality'!I12*$G$3),0)</f>
        <v>75504</v>
      </c>
      <c r="J17" s="60">
        <f>ROUND('GS Pay - No Locality'!J12+('GS Pay - No Locality'!J12*$G$3),0)</f>
        <v>77545</v>
      </c>
      <c r="K17" s="60">
        <f>ROUND('GS Pay - No Locality'!K12+('GS Pay - No Locality'!K12*$G$3),0)</f>
        <v>79586</v>
      </c>
    </row>
    <row r="18" spans="1:11" x14ac:dyDescent="0.2">
      <c r="A18" s="44">
        <v>12</v>
      </c>
      <c r="B18" s="60">
        <f>ROUND('GS Pay - No Locality'!B13+('GS Pay - No Locality'!B13*$G$3),0)</f>
        <v>73375</v>
      </c>
      <c r="C18" s="60">
        <f>ROUND('GS Pay - No Locality'!C13+('GS Pay - No Locality'!C13*$G$3),0)</f>
        <v>75821</v>
      </c>
      <c r="D18" s="60">
        <f>ROUND('GS Pay - No Locality'!D13+('GS Pay - No Locality'!D13*$G$3),0)</f>
        <v>78267</v>
      </c>
      <c r="E18" s="60">
        <f>ROUND('GS Pay - No Locality'!E13+('GS Pay - No Locality'!E13*$G$3),0)</f>
        <v>80713</v>
      </c>
      <c r="F18" s="60">
        <f>ROUND('GS Pay - No Locality'!F13+('GS Pay - No Locality'!F13*$G$3),0)</f>
        <v>83159</v>
      </c>
      <c r="G18" s="60">
        <f>ROUND('GS Pay - No Locality'!G13+('GS Pay - No Locality'!G13*$G$3),0)</f>
        <v>85605</v>
      </c>
      <c r="H18" s="60">
        <f>ROUND('GS Pay - No Locality'!H13+('GS Pay - No Locality'!H13*$G$3),0)</f>
        <v>88050</v>
      </c>
      <c r="I18" s="60">
        <f>ROUND('GS Pay - No Locality'!I13+('GS Pay - No Locality'!I13*$G$3),0)</f>
        <v>90496</v>
      </c>
      <c r="J18" s="60">
        <f>ROUND('GS Pay - No Locality'!J13+('GS Pay - No Locality'!J13*$G$3),0)</f>
        <v>92942</v>
      </c>
      <c r="K18" s="60">
        <f>ROUND('GS Pay - No Locality'!K13+('GS Pay - No Locality'!K13*$G$3),0)</f>
        <v>95388</v>
      </c>
    </row>
    <row r="19" spans="1:11" x14ac:dyDescent="0.2">
      <c r="A19" s="44">
        <v>13</v>
      </c>
      <c r="B19" s="60">
        <f>ROUND('GS Pay - No Locality'!B14+('GS Pay - No Locality'!B14*$G$3),0)</f>
        <v>87252</v>
      </c>
      <c r="C19" s="60">
        <f>ROUND('GS Pay - No Locality'!C14+('GS Pay - No Locality'!C14*$G$3),0)</f>
        <v>90161</v>
      </c>
      <c r="D19" s="60">
        <f>ROUND('GS Pay - No Locality'!D14+('GS Pay - No Locality'!D14*$G$3),0)</f>
        <v>93069</v>
      </c>
      <c r="E19" s="60">
        <f>ROUND('GS Pay - No Locality'!E14+('GS Pay - No Locality'!E14*$G$3),0)</f>
        <v>95977</v>
      </c>
      <c r="F19" s="60">
        <f>ROUND('GS Pay - No Locality'!F14+('GS Pay - No Locality'!F14*$G$3),0)</f>
        <v>98886</v>
      </c>
      <c r="G19" s="60">
        <f>ROUND('GS Pay - No Locality'!G14+('GS Pay - No Locality'!G14*$G$3),0)</f>
        <v>101794</v>
      </c>
      <c r="H19" s="60">
        <f>ROUND('GS Pay - No Locality'!H14+('GS Pay - No Locality'!H14*$G$3),0)</f>
        <v>104703</v>
      </c>
      <c r="I19" s="60">
        <f>ROUND('GS Pay - No Locality'!I14+('GS Pay - No Locality'!I14*$G$3),0)</f>
        <v>107611</v>
      </c>
      <c r="J19" s="60">
        <f>ROUND('GS Pay - No Locality'!J14+('GS Pay - No Locality'!J14*$G$3),0)</f>
        <v>110520</v>
      </c>
      <c r="K19" s="60">
        <f>ROUND('GS Pay - No Locality'!K14+('GS Pay - No Locality'!K14*$G$3),0)</f>
        <v>113428</v>
      </c>
    </row>
    <row r="20" spans="1:11" x14ac:dyDescent="0.2">
      <c r="A20" s="44">
        <v>14</v>
      </c>
      <c r="B20" s="60">
        <f>ROUND('GS Pay - No Locality'!B15+('GS Pay - No Locality'!B15*$G$3),0)</f>
        <v>103106</v>
      </c>
      <c r="C20" s="60">
        <f>ROUND('GS Pay - No Locality'!C15+('GS Pay - No Locality'!C15*$G$3),0)</f>
        <v>106543</v>
      </c>
      <c r="D20" s="60">
        <f>ROUND('GS Pay - No Locality'!D15+('GS Pay - No Locality'!D15*$G$3),0)</f>
        <v>109980</v>
      </c>
      <c r="E20" s="60">
        <f>ROUND('GS Pay - No Locality'!E15+('GS Pay - No Locality'!E15*$G$3),0)</f>
        <v>113417</v>
      </c>
      <c r="F20" s="60">
        <f>ROUND('GS Pay - No Locality'!F15+('GS Pay - No Locality'!F15*$G$3),0)</f>
        <v>116854</v>
      </c>
      <c r="G20" s="60">
        <f>ROUND('GS Pay - No Locality'!G15+('GS Pay - No Locality'!G15*$G$3),0)</f>
        <v>120291</v>
      </c>
      <c r="H20" s="60">
        <f>ROUND('GS Pay - No Locality'!H15+('GS Pay - No Locality'!H15*$G$3),0)</f>
        <v>123727</v>
      </c>
      <c r="I20" s="60">
        <f>ROUND('GS Pay - No Locality'!I15+('GS Pay - No Locality'!I15*$G$3),0)</f>
        <v>127164</v>
      </c>
      <c r="J20" s="60">
        <f>ROUND('GS Pay - No Locality'!J15+('GS Pay - No Locality'!J15*$G$3),0)</f>
        <v>130601</v>
      </c>
      <c r="K20" s="60">
        <f>ROUND('GS Pay - No Locality'!K15+('GS Pay - No Locality'!K15*$G$3),0)</f>
        <v>134038</v>
      </c>
    </row>
    <row r="21" spans="1:11" x14ac:dyDescent="0.2">
      <c r="A21" s="28"/>
    </row>
    <row r="22" spans="1:11" ht="12.75" customHeight="1" x14ac:dyDescent="0.2">
      <c r="A22" s="7"/>
      <c r="B22" s="7"/>
      <c r="C22" s="7"/>
      <c r="D22" s="7"/>
      <c r="E22" s="7"/>
      <c r="F22" s="7"/>
      <c r="G22" s="7"/>
      <c r="H22" s="7"/>
      <c r="I22" s="7"/>
      <c r="J22" s="7"/>
      <c r="K22" s="7"/>
    </row>
    <row r="23" spans="1:11" x14ac:dyDescent="0.2">
      <c r="A23" s="93" t="s">
        <v>76</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Page'!$C$63</f>
        <v>2018</v>
      </c>
      <c r="F1" s="9" t="s">
        <v>35</v>
      </c>
    </row>
    <row r="2" spans="1:13" ht="25.5" customHeight="1" x14ac:dyDescent="0.4">
      <c r="E2" s="8"/>
      <c r="G2" s="83" t="s">
        <v>69</v>
      </c>
      <c r="H2" s="10" t="str">
        <f>'Start Page'!C46</f>
        <v>Rest of the United States</v>
      </c>
    </row>
    <row r="3" spans="1:13" ht="25.5" customHeight="1" x14ac:dyDescent="0.4">
      <c r="G3" s="8">
        <f>'Start Page'!C31</f>
        <v>72</v>
      </c>
      <c r="H3" s="9" t="s">
        <v>40</v>
      </c>
    </row>
    <row r="4" spans="1:13" ht="12.75" customHeight="1" x14ac:dyDescent="0.2">
      <c r="F4" s="194" t="str">
        <f>IF(E1='GS Pay Calculator'!B2,"","Warning! These pay figures are now estimates only!")</f>
        <v/>
      </c>
      <c r="G4" s="194"/>
      <c r="H4" s="194"/>
      <c r="I4" s="194"/>
      <c r="J4" s="116"/>
    </row>
    <row r="5" spans="1:13" ht="12.75" customHeight="1" x14ac:dyDescent="0.2">
      <c r="G5" s="195" t="s">
        <v>95</v>
      </c>
      <c r="H5" s="195"/>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26587</v>
      </c>
      <c r="E7" s="15">
        <f>'GS Pay Scale'!C9</f>
        <v>27473</v>
      </c>
      <c r="F7" s="15">
        <f>'GS Pay Scale'!D9</f>
        <v>28359</v>
      </c>
      <c r="G7" s="15">
        <f>'GS Pay Scale'!E9</f>
        <v>29245</v>
      </c>
      <c r="H7" s="15">
        <f>'GS Pay Scale'!F9</f>
        <v>30131</v>
      </c>
      <c r="I7" s="15">
        <f>'GS Pay Scale'!G9</f>
        <v>31017</v>
      </c>
      <c r="J7" s="15">
        <f>'GS Pay Scale'!H9</f>
        <v>31903</v>
      </c>
      <c r="K7" s="15">
        <f>'GS Pay Scale'!I9</f>
        <v>32789</v>
      </c>
      <c r="L7" s="15">
        <f>'GS Pay Scale'!J9</f>
        <v>33675</v>
      </c>
      <c r="M7" s="15">
        <f>'GS Pay Scale'!K9</f>
        <v>34561</v>
      </c>
    </row>
    <row r="8" spans="1:13" x14ac:dyDescent="0.2">
      <c r="A8" s="13"/>
      <c r="B8" s="13">
        <v>106</v>
      </c>
      <c r="C8" s="16" t="s">
        <v>41</v>
      </c>
      <c r="D8" s="17">
        <f t="shared" ref="D8:M8" si="0">D9*106</f>
        <v>1022.9000000000001</v>
      </c>
      <c r="E8" s="17">
        <f t="shared" si="0"/>
        <v>1056.8200000000002</v>
      </c>
      <c r="F8" s="17">
        <f t="shared" si="0"/>
        <v>1090.74</v>
      </c>
      <c r="G8" s="17">
        <f t="shared" si="0"/>
        <v>1124.6599999999999</v>
      </c>
      <c r="H8" s="17">
        <f t="shared" si="0"/>
        <v>1158.58</v>
      </c>
      <c r="I8" s="17">
        <f t="shared" si="0"/>
        <v>1192.5</v>
      </c>
      <c r="J8" s="17">
        <f t="shared" si="0"/>
        <v>1227.48</v>
      </c>
      <c r="K8" s="17">
        <f t="shared" si="0"/>
        <v>1261.4000000000001</v>
      </c>
      <c r="L8" s="17">
        <f t="shared" si="0"/>
        <v>1295.3200000000002</v>
      </c>
      <c r="M8" s="17">
        <f t="shared" si="0"/>
        <v>1329.24</v>
      </c>
    </row>
    <row r="9" spans="1:13" x14ac:dyDescent="0.2">
      <c r="A9" s="13"/>
      <c r="B9" s="13"/>
      <c r="C9" s="16" t="s">
        <v>13</v>
      </c>
      <c r="D9" s="17">
        <f>ROUND(D7/2756,2)</f>
        <v>9.65</v>
      </c>
      <c r="E9" s="17">
        <f t="shared" ref="E9:M9" si="1">ROUND(E7/2756,2)</f>
        <v>9.9700000000000006</v>
      </c>
      <c r="F9" s="17">
        <f t="shared" si="1"/>
        <v>10.29</v>
      </c>
      <c r="G9" s="17">
        <f t="shared" si="1"/>
        <v>10.61</v>
      </c>
      <c r="H9" s="17">
        <f t="shared" si="1"/>
        <v>10.93</v>
      </c>
      <c r="I9" s="17">
        <f t="shared" si="1"/>
        <v>11.25</v>
      </c>
      <c r="J9" s="17">
        <f t="shared" si="1"/>
        <v>11.58</v>
      </c>
      <c r="K9" s="17">
        <f t="shared" si="1"/>
        <v>11.9</v>
      </c>
      <c r="L9" s="17">
        <f t="shared" si="1"/>
        <v>12.22</v>
      </c>
      <c r="M9" s="17">
        <f t="shared" si="1"/>
        <v>12.54</v>
      </c>
    </row>
    <row r="10" spans="1:13" x14ac:dyDescent="0.2">
      <c r="A10" s="18"/>
      <c r="B10" s="19">
        <f>($G$3-53)*2</f>
        <v>38</v>
      </c>
      <c r="C10" s="16" t="s">
        <v>42</v>
      </c>
      <c r="D10" s="17">
        <f>D11*$B$10</f>
        <v>550.24</v>
      </c>
      <c r="E10" s="17">
        <f t="shared" ref="E10:M10" si="2">E11*$B$10</f>
        <v>568.48</v>
      </c>
      <c r="F10" s="17">
        <f t="shared" si="2"/>
        <v>586.72</v>
      </c>
      <c r="G10" s="17">
        <f t="shared" si="2"/>
        <v>604.96</v>
      </c>
      <c r="H10" s="17">
        <f t="shared" si="2"/>
        <v>623.19999999999993</v>
      </c>
      <c r="I10" s="17">
        <f t="shared" si="2"/>
        <v>641.43999999999994</v>
      </c>
      <c r="J10" s="17">
        <f t="shared" si="2"/>
        <v>660.06000000000006</v>
      </c>
      <c r="K10" s="17">
        <f t="shared" si="2"/>
        <v>678.30000000000007</v>
      </c>
      <c r="L10" s="17">
        <f t="shared" si="2"/>
        <v>696.54</v>
      </c>
      <c r="M10" s="17">
        <f t="shared" si="2"/>
        <v>714.78</v>
      </c>
    </row>
    <row r="11" spans="1:13" x14ac:dyDescent="0.2">
      <c r="A11" s="13" t="s">
        <v>22</v>
      </c>
      <c r="B11" s="13"/>
      <c r="C11" s="16" t="s">
        <v>14</v>
      </c>
      <c r="D11" s="17">
        <f>IF(ROUND(D9*1.5,2)&lt;$G$122,ROUND(D9*1.5,2),IF($G$122&lt;D9,D9,$G$122))</f>
        <v>14.48</v>
      </c>
      <c r="E11" s="17">
        <f t="shared" ref="E11:M11" si="3">IF(ROUND(E9*1.5,2)&lt;$G$122,ROUND(E9*1.5,2),IF($G$122&lt;E9,E9,$G$122))</f>
        <v>14.96</v>
      </c>
      <c r="F11" s="17">
        <f t="shared" si="3"/>
        <v>15.44</v>
      </c>
      <c r="G11" s="17">
        <f t="shared" si="3"/>
        <v>15.92</v>
      </c>
      <c r="H11" s="17">
        <f t="shared" si="3"/>
        <v>16.399999999999999</v>
      </c>
      <c r="I11" s="17">
        <f t="shared" si="3"/>
        <v>16.88</v>
      </c>
      <c r="J11" s="17">
        <f t="shared" si="3"/>
        <v>17.37</v>
      </c>
      <c r="K11" s="17">
        <f t="shared" si="3"/>
        <v>17.850000000000001</v>
      </c>
      <c r="L11" s="17">
        <f t="shared" si="3"/>
        <v>18.329999999999998</v>
      </c>
      <c r="M11" s="17">
        <f t="shared" si="3"/>
        <v>18.809999999999999</v>
      </c>
    </row>
    <row r="12" spans="1:13" s="62" customFormat="1" x14ac:dyDescent="0.2">
      <c r="A12" s="61"/>
      <c r="B12" s="61"/>
      <c r="C12" s="32" t="s">
        <v>46</v>
      </c>
      <c r="D12" s="17">
        <f>ROUND(D9*'Start Page'!$F$48,2)*$B$13</f>
        <v>0</v>
      </c>
      <c r="E12" s="17">
        <f>ROUND(E9*'Start Page'!$F$48,2)*$B$13</f>
        <v>0</v>
      </c>
      <c r="F12" s="17">
        <f>ROUND(F9*'Start Page'!$F$48,2)*$B$13</f>
        <v>0</v>
      </c>
      <c r="G12" s="17">
        <f>ROUND(G9*'Start Page'!$F$48,2)*$B$13</f>
        <v>0</v>
      </c>
      <c r="H12" s="17">
        <f>ROUND(H9*'Start Page'!$F$48,2)*$B$13</f>
        <v>0</v>
      </c>
      <c r="I12" s="17">
        <f>ROUND(I9*'Start Page'!$F$48,2)*$B$13</f>
        <v>0</v>
      </c>
      <c r="J12" s="17">
        <f>ROUND(J9*'Start Page'!$F$48,2)*$B$13</f>
        <v>0</v>
      </c>
      <c r="K12" s="17">
        <f>ROUND(K9*'Start Page'!$F$48,2)*$B$13</f>
        <v>0</v>
      </c>
      <c r="L12" s="17">
        <f>ROUND(L9*'Start Page'!$F$48,2)*$B$13</f>
        <v>0</v>
      </c>
      <c r="M12" s="17">
        <f>ROUND(M9*'Start Page'!$F$48,2)*$B$13</f>
        <v>0</v>
      </c>
    </row>
    <row r="13" spans="1:13" x14ac:dyDescent="0.2">
      <c r="A13" s="13"/>
      <c r="B13" s="13">
        <f>B8+B10</f>
        <v>144</v>
      </c>
      <c r="C13" s="20" t="s">
        <v>17</v>
      </c>
      <c r="D13" s="21">
        <f>D8+D10+D12</f>
        <v>1573.14</v>
      </c>
      <c r="E13" s="21">
        <f t="shared" ref="E13:M13" si="4">E8+E10+E12</f>
        <v>1625.3000000000002</v>
      </c>
      <c r="F13" s="21">
        <f t="shared" si="4"/>
        <v>1677.46</v>
      </c>
      <c r="G13" s="21">
        <f t="shared" si="4"/>
        <v>1729.62</v>
      </c>
      <c r="H13" s="21">
        <f t="shared" si="4"/>
        <v>1781.7799999999997</v>
      </c>
      <c r="I13" s="21">
        <f t="shared" si="4"/>
        <v>1833.94</v>
      </c>
      <c r="J13" s="21">
        <f t="shared" si="4"/>
        <v>1887.54</v>
      </c>
      <c r="K13" s="21">
        <f t="shared" si="4"/>
        <v>1939.7000000000003</v>
      </c>
      <c r="L13" s="21">
        <f t="shared" si="4"/>
        <v>1991.8600000000001</v>
      </c>
      <c r="M13" s="21">
        <f t="shared" si="4"/>
        <v>2044.02</v>
      </c>
    </row>
    <row r="14" spans="1:13" x14ac:dyDescent="0.2">
      <c r="A14" s="13"/>
      <c r="B14" s="13"/>
      <c r="C14" s="20" t="s">
        <v>33</v>
      </c>
      <c r="D14" s="21">
        <f>D13*'Start Page'!$C$65</f>
        <v>40901.64</v>
      </c>
      <c r="E14" s="21">
        <f>E13*'Start Page'!$C$65</f>
        <v>42257.8</v>
      </c>
      <c r="F14" s="21">
        <f>F13*'Start Page'!$C$65</f>
        <v>43613.96</v>
      </c>
      <c r="G14" s="21">
        <f>G13*'Start Page'!$C$65</f>
        <v>44970.119999999995</v>
      </c>
      <c r="H14" s="21">
        <f>H13*'Start Page'!$C$65</f>
        <v>46326.279999999992</v>
      </c>
      <c r="I14" s="21">
        <f>I13*'Start Page'!$C$65</f>
        <v>47682.44</v>
      </c>
      <c r="J14" s="21">
        <f>J13*'Start Page'!$C$65</f>
        <v>49076.04</v>
      </c>
      <c r="K14" s="21">
        <f>K13*'Start Page'!$C$65</f>
        <v>50432.200000000004</v>
      </c>
      <c r="L14" s="21">
        <f>L13*'Start Page'!$C$65</f>
        <v>51788.36</v>
      </c>
      <c r="M14" s="21">
        <f>M13*'Start Page'!$C$65</f>
        <v>53144.52</v>
      </c>
    </row>
    <row r="15" spans="1:13" s="25" customFormat="1" x14ac:dyDescent="0.2">
      <c r="A15" s="22"/>
      <c r="B15" s="22"/>
      <c r="C15" s="23" t="s">
        <v>71</v>
      </c>
      <c r="D15" s="24">
        <f>D9*$B$13*'Start Page'!$C$65</f>
        <v>36129.600000000006</v>
      </c>
      <c r="E15" s="24">
        <f>E9*$B$13*'Start Page'!$C$65</f>
        <v>37327.68</v>
      </c>
      <c r="F15" s="24">
        <f>F9*$B$13*'Start Page'!$C$65</f>
        <v>38525.759999999995</v>
      </c>
      <c r="G15" s="24">
        <f>G9*$B$13*'Start Page'!$C$65</f>
        <v>39723.839999999997</v>
      </c>
      <c r="H15" s="24">
        <f>H9*$B$13*'Start Page'!$C$65</f>
        <v>40921.919999999998</v>
      </c>
      <c r="I15" s="24">
        <f>I9*$B$13*'Start Page'!$C$65</f>
        <v>42120</v>
      </c>
      <c r="J15" s="24">
        <f>J9*$B$13*'Start Page'!$C$65</f>
        <v>43355.519999999997</v>
      </c>
      <c r="K15" s="24">
        <f>K9*$B$13*'Start Page'!$C$65</f>
        <v>44553.600000000006</v>
      </c>
      <c r="L15" s="24">
        <f>L9*$B$13*'Start Page'!$C$65</f>
        <v>45751.68</v>
      </c>
      <c r="M15" s="120">
        <f>M9*$B$13*'Start Page'!$C$65</f>
        <v>46949.759999999995</v>
      </c>
    </row>
    <row r="16" spans="1:13" x14ac:dyDescent="0.2">
      <c r="A16" s="26"/>
      <c r="B16" s="13"/>
      <c r="C16" s="14" t="s">
        <v>30</v>
      </c>
      <c r="D16" s="15">
        <f>'GS Pay Scale'!B10</f>
        <v>29847</v>
      </c>
      <c r="E16" s="15">
        <f>'GS Pay Scale'!C10</f>
        <v>30842</v>
      </c>
      <c r="F16" s="15">
        <f>'GS Pay Scale'!D10</f>
        <v>31836</v>
      </c>
      <c r="G16" s="15">
        <f>'GS Pay Scale'!E10</f>
        <v>32831</v>
      </c>
      <c r="H16" s="15">
        <f>'GS Pay Scale'!F10</f>
        <v>33825</v>
      </c>
      <c r="I16" s="15">
        <f>'GS Pay Scale'!G10</f>
        <v>34820</v>
      </c>
      <c r="J16" s="15">
        <f>'GS Pay Scale'!H10</f>
        <v>35814</v>
      </c>
      <c r="K16" s="15">
        <f>'GS Pay Scale'!I10</f>
        <v>36809</v>
      </c>
      <c r="L16" s="15">
        <f>'GS Pay Scale'!J10</f>
        <v>37803</v>
      </c>
      <c r="M16" s="15">
        <f>'GS Pay Scale'!K10</f>
        <v>38798</v>
      </c>
    </row>
    <row r="17" spans="1:13" x14ac:dyDescent="0.2">
      <c r="A17" s="13"/>
      <c r="B17" s="13">
        <v>106</v>
      </c>
      <c r="C17" s="16" t="s">
        <v>41</v>
      </c>
      <c r="D17" s="17">
        <f t="shared" ref="D17:M17" si="5">D18*106</f>
        <v>1147.98</v>
      </c>
      <c r="E17" s="17">
        <f t="shared" si="5"/>
        <v>1186.1399999999999</v>
      </c>
      <c r="F17" s="17">
        <f t="shared" si="5"/>
        <v>1224.3000000000002</v>
      </c>
      <c r="G17" s="17">
        <f t="shared" si="5"/>
        <v>1262.46</v>
      </c>
      <c r="H17" s="17">
        <f t="shared" si="5"/>
        <v>1300.6199999999999</v>
      </c>
      <c r="I17" s="17">
        <f t="shared" si="5"/>
        <v>1338.78</v>
      </c>
      <c r="J17" s="17">
        <f t="shared" si="5"/>
        <v>1376.94</v>
      </c>
      <c r="K17" s="17">
        <f t="shared" si="5"/>
        <v>1416.1599999999999</v>
      </c>
      <c r="L17" s="17">
        <f t="shared" si="5"/>
        <v>1454.3200000000002</v>
      </c>
      <c r="M17" s="17">
        <f t="shared" si="5"/>
        <v>1492.48</v>
      </c>
    </row>
    <row r="18" spans="1:13" x14ac:dyDescent="0.2">
      <c r="A18" s="13"/>
      <c r="B18" s="13"/>
      <c r="C18" s="16" t="s">
        <v>13</v>
      </c>
      <c r="D18" s="17">
        <f>ROUND(D16/2756,2)</f>
        <v>10.83</v>
      </c>
      <c r="E18" s="17">
        <f t="shared" ref="E18:M18" si="6">ROUND(E16/2756,2)</f>
        <v>11.19</v>
      </c>
      <c r="F18" s="17">
        <f t="shared" si="6"/>
        <v>11.55</v>
      </c>
      <c r="G18" s="17">
        <f t="shared" si="6"/>
        <v>11.91</v>
      </c>
      <c r="H18" s="17">
        <f t="shared" si="6"/>
        <v>12.27</v>
      </c>
      <c r="I18" s="17">
        <f t="shared" si="6"/>
        <v>12.63</v>
      </c>
      <c r="J18" s="17">
        <f t="shared" si="6"/>
        <v>12.99</v>
      </c>
      <c r="K18" s="17">
        <f t="shared" si="6"/>
        <v>13.36</v>
      </c>
      <c r="L18" s="17">
        <f t="shared" si="6"/>
        <v>13.72</v>
      </c>
      <c r="M18" s="17">
        <f t="shared" si="6"/>
        <v>14.08</v>
      </c>
    </row>
    <row r="19" spans="1:13" x14ac:dyDescent="0.2">
      <c r="A19" s="18"/>
      <c r="B19" s="19">
        <f>($G$3-53)*2</f>
        <v>38</v>
      </c>
      <c r="C19" s="16" t="s">
        <v>42</v>
      </c>
      <c r="D19" s="17">
        <f t="shared" ref="D19:M19" si="7">D20*$B$10</f>
        <v>617.5</v>
      </c>
      <c r="E19" s="17">
        <f t="shared" si="7"/>
        <v>638.02</v>
      </c>
      <c r="F19" s="17">
        <f t="shared" si="7"/>
        <v>658.54</v>
      </c>
      <c r="G19" s="17">
        <f t="shared" si="7"/>
        <v>679.06000000000006</v>
      </c>
      <c r="H19" s="17">
        <f t="shared" si="7"/>
        <v>699.58</v>
      </c>
      <c r="I19" s="17">
        <f t="shared" si="7"/>
        <v>720.1</v>
      </c>
      <c r="J19" s="17">
        <f t="shared" si="7"/>
        <v>740.61999999999989</v>
      </c>
      <c r="K19" s="17">
        <f t="shared" si="7"/>
        <v>761.52</v>
      </c>
      <c r="L19" s="17">
        <f t="shared" si="7"/>
        <v>782.04</v>
      </c>
      <c r="M19" s="17">
        <f t="shared" si="7"/>
        <v>802.56000000000006</v>
      </c>
    </row>
    <row r="20" spans="1:13" x14ac:dyDescent="0.2">
      <c r="A20" s="13" t="s">
        <v>23</v>
      </c>
      <c r="B20" s="13"/>
      <c r="C20" s="16" t="s">
        <v>14</v>
      </c>
      <c r="D20" s="17">
        <f>IF(ROUND(D18*1.5,2)&lt;$G$122,ROUND(D18*1.5,2),IF($G$122&lt;D18,D18,$G$122))</f>
        <v>16.25</v>
      </c>
      <c r="E20" s="17">
        <f t="shared" ref="E20:M20" si="8">IF(ROUND(E18*1.5,2)&lt;$G$122,ROUND(E18*1.5,2),IF($G$122&lt;E18,E18,$G$122))</f>
        <v>16.79</v>
      </c>
      <c r="F20" s="17">
        <f t="shared" si="8"/>
        <v>17.329999999999998</v>
      </c>
      <c r="G20" s="17">
        <f t="shared" si="8"/>
        <v>17.87</v>
      </c>
      <c r="H20" s="17">
        <f t="shared" si="8"/>
        <v>18.41</v>
      </c>
      <c r="I20" s="17">
        <f t="shared" si="8"/>
        <v>18.95</v>
      </c>
      <c r="J20" s="17">
        <f t="shared" si="8"/>
        <v>19.489999999999998</v>
      </c>
      <c r="K20" s="17">
        <f t="shared" si="8"/>
        <v>20.04</v>
      </c>
      <c r="L20" s="17">
        <f t="shared" si="8"/>
        <v>20.58</v>
      </c>
      <c r="M20" s="17">
        <f t="shared" si="8"/>
        <v>21.12</v>
      </c>
    </row>
    <row r="21" spans="1:13" s="62" customFormat="1" x14ac:dyDescent="0.2">
      <c r="A21" s="61"/>
      <c r="B21" s="61"/>
      <c r="C21" s="32" t="s">
        <v>46</v>
      </c>
      <c r="D21" s="17">
        <f>ROUND(D18*'Start Page'!$F$48,2)*$B$13</f>
        <v>0</v>
      </c>
      <c r="E21" s="17">
        <f>ROUND(E18*'Start Page'!$F$48,2)*$B$13</f>
        <v>0</v>
      </c>
      <c r="F21" s="17">
        <f>ROUND(F18*'Start Page'!$F$48,2)*$B$13</f>
        <v>0</v>
      </c>
      <c r="G21" s="17">
        <f>ROUND(G18*'Start Page'!$F$48,2)*$B$13</f>
        <v>0</v>
      </c>
      <c r="H21" s="17">
        <f>ROUND(H18*'Start Page'!$F$48,2)*$B$13</f>
        <v>0</v>
      </c>
      <c r="I21" s="17">
        <f>ROUND(I18*'Start Page'!$F$48,2)*$B$13</f>
        <v>0</v>
      </c>
      <c r="J21" s="17">
        <f>ROUND(J18*'Start Page'!$F$48,2)*$B$13</f>
        <v>0</v>
      </c>
      <c r="K21" s="17">
        <f>ROUND(K18*'Start Page'!$F$48,2)*$B$13</f>
        <v>0</v>
      </c>
      <c r="L21" s="17">
        <f>ROUND(L18*'Start Page'!$F$48,2)*$B$13</f>
        <v>0</v>
      </c>
      <c r="M21" s="17">
        <f>ROUND(M18*'Start Page'!$F$48,2)*$B$13</f>
        <v>0</v>
      </c>
    </row>
    <row r="22" spans="1:13" x14ac:dyDescent="0.2">
      <c r="A22" s="13"/>
      <c r="B22" s="13">
        <f>B17+B19</f>
        <v>144</v>
      </c>
      <c r="C22" s="20" t="s">
        <v>17</v>
      </c>
      <c r="D22" s="21">
        <f t="shared" ref="D22:M22" si="9">D17+D19+D21</f>
        <v>1765.48</v>
      </c>
      <c r="E22" s="21">
        <f t="shared" si="9"/>
        <v>1824.1599999999999</v>
      </c>
      <c r="F22" s="21">
        <f t="shared" si="9"/>
        <v>1882.8400000000001</v>
      </c>
      <c r="G22" s="21">
        <f t="shared" si="9"/>
        <v>1941.52</v>
      </c>
      <c r="H22" s="21">
        <f t="shared" si="9"/>
        <v>2000.1999999999998</v>
      </c>
      <c r="I22" s="21">
        <f t="shared" si="9"/>
        <v>2058.88</v>
      </c>
      <c r="J22" s="21">
        <f t="shared" si="9"/>
        <v>2117.56</v>
      </c>
      <c r="K22" s="21">
        <f t="shared" si="9"/>
        <v>2177.6799999999998</v>
      </c>
      <c r="L22" s="21">
        <f t="shared" si="9"/>
        <v>2236.36</v>
      </c>
      <c r="M22" s="21">
        <f t="shared" si="9"/>
        <v>2295.04</v>
      </c>
    </row>
    <row r="23" spans="1:13" x14ac:dyDescent="0.2">
      <c r="A23" s="13"/>
      <c r="B23" s="13"/>
      <c r="C23" s="20" t="s">
        <v>33</v>
      </c>
      <c r="D23" s="21">
        <f>D22*'Start Page'!$C$65</f>
        <v>45902.48</v>
      </c>
      <c r="E23" s="21">
        <f>E22*'Start Page'!$C$65</f>
        <v>47428.159999999996</v>
      </c>
      <c r="F23" s="21">
        <f>F22*'Start Page'!$C$65</f>
        <v>48953.840000000004</v>
      </c>
      <c r="G23" s="21">
        <f>G22*'Start Page'!$C$65</f>
        <v>50479.519999999997</v>
      </c>
      <c r="H23" s="21">
        <f>H22*'Start Page'!$C$65</f>
        <v>52005.2</v>
      </c>
      <c r="I23" s="21">
        <f>I22*'Start Page'!$C$65</f>
        <v>53530.880000000005</v>
      </c>
      <c r="J23" s="21">
        <f>J22*'Start Page'!$C$65</f>
        <v>55056.56</v>
      </c>
      <c r="K23" s="21">
        <f>K22*'Start Page'!$C$65</f>
        <v>56619.679999999993</v>
      </c>
      <c r="L23" s="21">
        <f>L22*'Start Page'!$C$65</f>
        <v>58145.36</v>
      </c>
      <c r="M23" s="21">
        <f>M22*'Start Page'!$C$65</f>
        <v>59671.040000000001</v>
      </c>
    </row>
    <row r="24" spans="1:13" s="25" customFormat="1" x14ac:dyDescent="0.2">
      <c r="A24" s="22"/>
      <c r="B24" s="22"/>
      <c r="C24" s="23" t="s">
        <v>71</v>
      </c>
      <c r="D24" s="24">
        <f>D18*$B$13*'Start Page'!$C$65</f>
        <v>40547.519999999997</v>
      </c>
      <c r="E24" s="24">
        <f>E18*$B$13*'Start Page'!$C$65</f>
        <v>41895.360000000001</v>
      </c>
      <c r="F24" s="24">
        <f>F18*$B$13*'Start Page'!$C$65</f>
        <v>43243.200000000004</v>
      </c>
      <c r="G24" s="24">
        <f>G18*$B$13*'Start Page'!$C$65</f>
        <v>44591.040000000001</v>
      </c>
      <c r="H24" s="24">
        <f>H18*$B$13*'Start Page'!$C$65</f>
        <v>45938.879999999997</v>
      </c>
      <c r="I24" s="24">
        <f>I18*$B$13*'Start Page'!$C$65</f>
        <v>47286.720000000001</v>
      </c>
      <c r="J24" s="24">
        <f>J18*$B$13*'Start Page'!$C$65</f>
        <v>48634.559999999998</v>
      </c>
      <c r="K24" s="24">
        <f>K18*$B$13*'Start Page'!$C$65</f>
        <v>50019.839999999997</v>
      </c>
      <c r="L24" s="24">
        <f>L18*$B$13*'Start Page'!$C$65</f>
        <v>51367.68</v>
      </c>
      <c r="M24" s="120">
        <f>M18*$B$13*'Start Page'!$C$65</f>
        <v>52715.519999999997</v>
      </c>
    </row>
    <row r="25" spans="1:13" x14ac:dyDescent="0.2">
      <c r="A25" s="26"/>
      <c r="B25" s="13"/>
      <c r="C25" s="14" t="s">
        <v>30</v>
      </c>
      <c r="D25" s="15">
        <f>'GS Pay Scale'!B11</f>
        <v>33394</v>
      </c>
      <c r="E25" s="15">
        <f>'GS Pay Scale'!C11</f>
        <v>34507</v>
      </c>
      <c r="F25" s="15">
        <f>'GS Pay Scale'!D11</f>
        <v>35620</v>
      </c>
      <c r="G25" s="15">
        <f>'GS Pay Scale'!E11</f>
        <v>36734</v>
      </c>
      <c r="H25" s="15">
        <f>'GS Pay Scale'!F11</f>
        <v>37847</v>
      </c>
      <c r="I25" s="15">
        <f>'GS Pay Scale'!G11</f>
        <v>38960</v>
      </c>
      <c r="J25" s="15">
        <f>'GS Pay Scale'!H11</f>
        <v>40074</v>
      </c>
      <c r="K25" s="15">
        <f>'GS Pay Scale'!I11</f>
        <v>41187</v>
      </c>
      <c r="L25" s="15">
        <f>'GS Pay Scale'!J11</f>
        <v>42300</v>
      </c>
      <c r="M25" s="15">
        <f>'GS Pay Scale'!K11</f>
        <v>43414</v>
      </c>
    </row>
    <row r="26" spans="1:13" x14ac:dyDescent="0.2">
      <c r="A26" s="13"/>
      <c r="B26" s="13">
        <v>106</v>
      </c>
      <c r="C26" s="16" t="s">
        <v>41</v>
      </c>
      <c r="D26" s="17">
        <f t="shared" ref="D26:M26" si="10">D27*106</f>
        <v>1284.72</v>
      </c>
      <c r="E26" s="17">
        <f t="shared" si="10"/>
        <v>1327.12</v>
      </c>
      <c r="F26" s="17">
        <f t="shared" si="10"/>
        <v>1369.52</v>
      </c>
      <c r="G26" s="17">
        <f t="shared" si="10"/>
        <v>1412.98</v>
      </c>
      <c r="H26" s="17">
        <f t="shared" si="10"/>
        <v>1455.38</v>
      </c>
      <c r="I26" s="17">
        <f t="shared" si="10"/>
        <v>1498.8400000000001</v>
      </c>
      <c r="J26" s="17">
        <f t="shared" si="10"/>
        <v>1541.24</v>
      </c>
      <c r="K26" s="17">
        <f t="shared" si="10"/>
        <v>1583.6399999999999</v>
      </c>
      <c r="L26" s="17">
        <f t="shared" si="10"/>
        <v>1627.1</v>
      </c>
      <c r="M26" s="17">
        <f t="shared" si="10"/>
        <v>1669.5</v>
      </c>
    </row>
    <row r="27" spans="1:13" x14ac:dyDescent="0.2">
      <c r="A27" s="13"/>
      <c r="B27" s="13"/>
      <c r="C27" s="16" t="s">
        <v>13</v>
      </c>
      <c r="D27" s="17">
        <f>ROUND(D25/2756,2)</f>
        <v>12.12</v>
      </c>
      <c r="E27" s="17">
        <f t="shared" ref="E27:M27" si="11">ROUND(E25/2756,2)</f>
        <v>12.52</v>
      </c>
      <c r="F27" s="17">
        <f t="shared" si="11"/>
        <v>12.92</v>
      </c>
      <c r="G27" s="17">
        <f t="shared" si="11"/>
        <v>13.33</v>
      </c>
      <c r="H27" s="17">
        <f t="shared" si="11"/>
        <v>13.73</v>
      </c>
      <c r="I27" s="17">
        <f t="shared" si="11"/>
        <v>14.14</v>
      </c>
      <c r="J27" s="17">
        <f t="shared" si="11"/>
        <v>14.54</v>
      </c>
      <c r="K27" s="17">
        <f t="shared" si="11"/>
        <v>14.94</v>
      </c>
      <c r="L27" s="17">
        <f t="shared" si="11"/>
        <v>15.35</v>
      </c>
      <c r="M27" s="17">
        <f t="shared" si="11"/>
        <v>15.75</v>
      </c>
    </row>
    <row r="28" spans="1:13" x14ac:dyDescent="0.2">
      <c r="A28" s="18"/>
      <c r="B28" s="19">
        <f>($G$3-53)*2</f>
        <v>38</v>
      </c>
      <c r="C28" s="16" t="s">
        <v>42</v>
      </c>
      <c r="D28" s="17">
        <f t="shared" ref="D28:M28" si="12">D29*$B$10</f>
        <v>690.84</v>
      </c>
      <c r="E28" s="17">
        <f t="shared" si="12"/>
        <v>713.6400000000001</v>
      </c>
      <c r="F28" s="17">
        <f t="shared" si="12"/>
        <v>736.43999999999994</v>
      </c>
      <c r="G28" s="17">
        <f t="shared" si="12"/>
        <v>760</v>
      </c>
      <c r="H28" s="17">
        <f t="shared" si="12"/>
        <v>782.80000000000007</v>
      </c>
      <c r="I28" s="17">
        <f t="shared" si="12"/>
        <v>805.98</v>
      </c>
      <c r="J28" s="17">
        <f t="shared" si="12"/>
        <v>828.78</v>
      </c>
      <c r="K28" s="17">
        <f t="shared" si="12"/>
        <v>851.58</v>
      </c>
      <c r="L28" s="17">
        <f t="shared" si="12"/>
        <v>875.1400000000001</v>
      </c>
      <c r="M28" s="17">
        <f t="shared" si="12"/>
        <v>897.93999999999994</v>
      </c>
    </row>
    <row r="29" spans="1:13" x14ac:dyDescent="0.2">
      <c r="A29" s="13" t="s">
        <v>24</v>
      </c>
      <c r="B29" s="13"/>
      <c r="C29" s="16" t="s">
        <v>14</v>
      </c>
      <c r="D29" s="17">
        <f>IF(ROUND(D27*1.5,2)&lt;$G$122,ROUND(D27*1.5,2),IF($G$122&lt;D27,D27,$G$122))</f>
        <v>18.18</v>
      </c>
      <c r="E29" s="17">
        <f t="shared" ref="E29:M29" si="13">IF(ROUND(E27*1.5,2)&lt;$G$122,ROUND(E27*1.5,2),IF($G$122&lt;E27,E27,$G$122))</f>
        <v>18.78</v>
      </c>
      <c r="F29" s="17">
        <f t="shared" si="13"/>
        <v>19.38</v>
      </c>
      <c r="G29" s="17">
        <f t="shared" si="13"/>
        <v>20</v>
      </c>
      <c r="H29" s="17">
        <f t="shared" si="13"/>
        <v>20.6</v>
      </c>
      <c r="I29" s="17">
        <f t="shared" si="13"/>
        <v>21.21</v>
      </c>
      <c r="J29" s="17">
        <f t="shared" si="13"/>
        <v>21.81</v>
      </c>
      <c r="K29" s="17">
        <f t="shared" si="13"/>
        <v>22.41</v>
      </c>
      <c r="L29" s="17">
        <f t="shared" si="13"/>
        <v>23.03</v>
      </c>
      <c r="M29" s="17">
        <f t="shared" si="13"/>
        <v>23.63</v>
      </c>
    </row>
    <row r="30" spans="1:13" s="62" customFormat="1" x14ac:dyDescent="0.2">
      <c r="A30" s="61"/>
      <c r="B30" s="61"/>
      <c r="C30" s="32" t="s">
        <v>46</v>
      </c>
      <c r="D30" s="17">
        <f>ROUND(D27*'Start Page'!$F$48,2)*$B$13</f>
        <v>0</v>
      </c>
      <c r="E30" s="17">
        <f>ROUND(E27*'Start Page'!$F$48,2)*$B$13</f>
        <v>0</v>
      </c>
      <c r="F30" s="17">
        <f>ROUND(F27*'Start Page'!$F$48,2)*$B$13</f>
        <v>0</v>
      </c>
      <c r="G30" s="17">
        <f>ROUND(G27*'Start Page'!$F$48,2)*$B$13</f>
        <v>0</v>
      </c>
      <c r="H30" s="17">
        <f>ROUND(H27*'Start Page'!$F$48,2)*$B$13</f>
        <v>0</v>
      </c>
      <c r="I30" s="17">
        <f>ROUND(I27*'Start Page'!$F$48,2)*$B$13</f>
        <v>0</v>
      </c>
      <c r="J30" s="17">
        <f>ROUND(J27*'Start Page'!$F$48,2)*$B$13</f>
        <v>0</v>
      </c>
      <c r="K30" s="17">
        <f>ROUND(K27*'Start Page'!$F$48,2)*$B$13</f>
        <v>0</v>
      </c>
      <c r="L30" s="17">
        <f>ROUND(L27*'Start Page'!$F$48,2)*$B$13</f>
        <v>0</v>
      </c>
      <c r="M30" s="17">
        <f>ROUND(M27*'Start Page'!$F$48,2)*$B$13</f>
        <v>0</v>
      </c>
    </row>
    <row r="31" spans="1:13" x14ac:dyDescent="0.2">
      <c r="A31" s="13"/>
      <c r="B31" s="13">
        <f>B26+B28</f>
        <v>144</v>
      </c>
      <c r="C31" s="20" t="s">
        <v>17</v>
      </c>
      <c r="D31" s="21">
        <f t="shared" ref="D31:M31" si="14">D26+D28+D30</f>
        <v>1975.56</v>
      </c>
      <c r="E31" s="21">
        <f t="shared" si="14"/>
        <v>2040.76</v>
      </c>
      <c r="F31" s="21">
        <f t="shared" si="14"/>
        <v>2105.96</v>
      </c>
      <c r="G31" s="21">
        <f t="shared" si="14"/>
        <v>2172.98</v>
      </c>
      <c r="H31" s="21">
        <f t="shared" si="14"/>
        <v>2238.1800000000003</v>
      </c>
      <c r="I31" s="21">
        <f t="shared" si="14"/>
        <v>2304.8200000000002</v>
      </c>
      <c r="J31" s="21">
        <f t="shared" si="14"/>
        <v>2370.02</v>
      </c>
      <c r="K31" s="21">
        <f t="shared" si="14"/>
        <v>2435.2199999999998</v>
      </c>
      <c r="L31" s="21">
        <f t="shared" si="14"/>
        <v>2502.2399999999998</v>
      </c>
      <c r="M31" s="21">
        <f t="shared" si="14"/>
        <v>2567.44</v>
      </c>
    </row>
    <row r="32" spans="1:13" x14ac:dyDescent="0.2">
      <c r="A32" s="13"/>
      <c r="B32" s="13"/>
      <c r="C32" s="20" t="s">
        <v>33</v>
      </c>
      <c r="D32" s="21">
        <f>D31*'Start Page'!$C$65</f>
        <v>51364.56</v>
      </c>
      <c r="E32" s="21">
        <f>E31*'Start Page'!$C$65</f>
        <v>53059.76</v>
      </c>
      <c r="F32" s="21">
        <f>F31*'Start Page'!$C$65</f>
        <v>54754.96</v>
      </c>
      <c r="G32" s="21">
        <f>G31*'Start Page'!$C$65</f>
        <v>56497.48</v>
      </c>
      <c r="H32" s="21">
        <f>H31*'Start Page'!$C$65</f>
        <v>58192.680000000008</v>
      </c>
      <c r="I32" s="21">
        <f>I31*'Start Page'!$C$65</f>
        <v>59925.320000000007</v>
      </c>
      <c r="J32" s="21">
        <f>J31*'Start Page'!$C$65</f>
        <v>61620.52</v>
      </c>
      <c r="K32" s="21">
        <f>K31*'Start Page'!$C$65</f>
        <v>63315.719999999994</v>
      </c>
      <c r="L32" s="21">
        <f>L31*'Start Page'!$C$65</f>
        <v>65058.239999999991</v>
      </c>
      <c r="M32" s="21">
        <f>M31*'Start Page'!$C$65</f>
        <v>66753.440000000002</v>
      </c>
    </row>
    <row r="33" spans="1:13" s="25" customFormat="1" x14ac:dyDescent="0.2">
      <c r="A33" s="22"/>
      <c r="B33" s="22"/>
      <c r="C33" s="23" t="s">
        <v>71</v>
      </c>
      <c r="D33" s="24">
        <f>D27*$B$13*'Start Page'!$C$65</f>
        <v>45377.279999999999</v>
      </c>
      <c r="E33" s="24">
        <f>E27*$B$13*'Start Page'!$C$65</f>
        <v>46874.879999999997</v>
      </c>
      <c r="F33" s="24">
        <f>F27*$B$13*'Start Page'!$C$65</f>
        <v>48372.480000000003</v>
      </c>
      <c r="G33" s="24">
        <f>G27*$B$13*'Start Page'!$C$65</f>
        <v>49907.519999999997</v>
      </c>
      <c r="H33" s="24">
        <f>H27*$B$13*'Start Page'!$C$65</f>
        <v>51405.120000000003</v>
      </c>
      <c r="I33" s="24">
        <f>I27*$B$13*'Start Page'!$C$65</f>
        <v>52940.160000000003</v>
      </c>
      <c r="J33" s="24">
        <f>J27*$B$13*'Start Page'!$C$65</f>
        <v>54437.759999999995</v>
      </c>
      <c r="K33" s="24">
        <f>K27*$B$13*'Start Page'!$C$65</f>
        <v>55935.360000000001</v>
      </c>
      <c r="L33" s="24">
        <f>L27*$B$13*'Start Page'!$C$65</f>
        <v>57470.400000000001</v>
      </c>
      <c r="M33" s="120">
        <f>M27*$B$13*'Start Page'!$C$65</f>
        <v>58968</v>
      </c>
    </row>
    <row r="34" spans="1:13" x14ac:dyDescent="0.2">
      <c r="A34" s="26"/>
      <c r="B34" s="13"/>
      <c r="C34" s="14" t="s">
        <v>30</v>
      </c>
      <c r="D34" s="15">
        <f>'GS Pay Scale'!B12</f>
        <v>37223</v>
      </c>
      <c r="E34" s="15">
        <f>'GS Pay Scale'!C12</f>
        <v>38463</v>
      </c>
      <c r="F34" s="15">
        <f>'GS Pay Scale'!D12</f>
        <v>39703</v>
      </c>
      <c r="G34" s="15">
        <f>'GS Pay Scale'!E12</f>
        <v>40944</v>
      </c>
      <c r="H34" s="15">
        <f>'GS Pay Scale'!F12</f>
        <v>42184</v>
      </c>
      <c r="I34" s="15">
        <f>'GS Pay Scale'!G12</f>
        <v>43424</v>
      </c>
      <c r="J34" s="15">
        <f>'GS Pay Scale'!H12</f>
        <v>44664</v>
      </c>
      <c r="K34" s="15">
        <f>'GS Pay Scale'!I12</f>
        <v>45905</v>
      </c>
      <c r="L34" s="15">
        <f>'GS Pay Scale'!J12</f>
        <v>47145</v>
      </c>
      <c r="M34" s="15">
        <f>'GS Pay Scale'!K12</f>
        <v>48385</v>
      </c>
    </row>
    <row r="35" spans="1:13" x14ac:dyDescent="0.2">
      <c r="A35" s="13"/>
      <c r="B35" s="13">
        <v>106</v>
      </c>
      <c r="C35" s="16" t="s">
        <v>41</v>
      </c>
      <c r="D35" s="17">
        <f t="shared" ref="D35:M35" si="15">D36*106</f>
        <v>1432.06</v>
      </c>
      <c r="E35" s="17">
        <f t="shared" si="15"/>
        <v>1479.76</v>
      </c>
      <c r="F35" s="17">
        <f t="shared" si="15"/>
        <v>1527.46</v>
      </c>
      <c r="G35" s="17">
        <f t="shared" si="15"/>
        <v>1575.1599999999999</v>
      </c>
      <c r="H35" s="17">
        <f t="shared" si="15"/>
        <v>1622.8600000000001</v>
      </c>
      <c r="I35" s="17">
        <f t="shared" si="15"/>
        <v>1670.56</v>
      </c>
      <c r="J35" s="17">
        <f t="shared" si="15"/>
        <v>1718.26</v>
      </c>
      <c r="K35" s="17">
        <f t="shared" si="15"/>
        <v>1765.96</v>
      </c>
      <c r="L35" s="17">
        <f t="shared" si="15"/>
        <v>1813.6599999999999</v>
      </c>
      <c r="M35" s="17">
        <f t="shared" si="15"/>
        <v>1861.36</v>
      </c>
    </row>
    <row r="36" spans="1:13" x14ac:dyDescent="0.2">
      <c r="A36" s="13"/>
      <c r="B36" s="13"/>
      <c r="C36" s="16" t="s">
        <v>13</v>
      </c>
      <c r="D36" s="17">
        <f>ROUND(D34/2756,2)</f>
        <v>13.51</v>
      </c>
      <c r="E36" s="17">
        <f t="shared" ref="E36:M36" si="16">ROUND(E34/2756,2)</f>
        <v>13.96</v>
      </c>
      <c r="F36" s="17">
        <f t="shared" si="16"/>
        <v>14.41</v>
      </c>
      <c r="G36" s="17">
        <f t="shared" si="16"/>
        <v>14.86</v>
      </c>
      <c r="H36" s="17">
        <f t="shared" si="16"/>
        <v>15.31</v>
      </c>
      <c r="I36" s="17">
        <f t="shared" si="16"/>
        <v>15.76</v>
      </c>
      <c r="J36" s="17">
        <f t="shared" si="16"/>
        <v>16.21</v>
      </c>
      <c r="K36" s="17">
        <f t="shared" si="16"/>
        <v>16.66</v>
      </c>
      <c r="L36" s="17">
        <f t="shared" si="16"/>
        <v>17.11</v>
      </c>
      <c r="M36" s="17">
        <f t="shared" si="16"/>
        <v>17.559999999999999</v>
      </c>
    </row>
    <row r="37" spans="1:13" x14ac:dyDescent="0.2">
      <c r="A37" s="18"/>
      <c r="B37" s="19">
        <f>($G$3-53)*2</f>
        <v>38</v>
      </c>
      <c r="C37" s="16" t="s">
        <v>42</v>
      </c>
      <c r="D37" s="17">
        <f t="shared" ref="D37:M37" si="17">D38*$B$10</f>
        <v>770.26</v>
      </c>
      <c r="E37" s="17">
        <f t="shared" si="17"/>
        <v>795.72</v>
      </c>
      <c r="F37" s="17">
        <f t="shared" si="17"/>
        <v>821.56000000000006</v>
      </c>
      <c r="G37" s="17">
        <f t="shared" si="17"/>
        <v>847.02</v>
      </c>
      <c r="H37" s="17">
        <f t="shared" si="17"/>
        <v>872.8599999999999</v>
      </c>
      <c r="I37" s="17">
        <f t="shared" si="17"/>
        <v>898.32</v>
      </c>
      <c r="J37" s="17">
        <f t="shared" si="17"/>
        <v>924.16</v>
      </c>
      <c r="K37" s="17">
        <f t="shared" si="17"/>
        <v>949.61999999999989</v>
      </c>
      <c r="L37" s="17">
        <f t="shared" si="17"/>
        <v>975.46</v>
      </c>
      <c r="M37" s="17">
        <f t="shared" si="17"/>
        <v>1000.92</v>
      </c>
    </row>
    <row r="38" spans="1:13" x14ac:dyDescent="0.2">
      <c r="A38" s="13" t="s">
        <v>18</v>
      </c>
      <c r="B38" s="13"/>
      <c r="C38" s="16" t="s">
        <v>14</v>
      </c>
      <c r="D38" s="17">
        <f>IF(ROUND(D36*1.5,2)&lt;$G$122,ROUND(D36*1.5,2),IF($G$122&lt;D36,D36,$G$122))</f>
        <v>20.27</v>
      </c>
      <c r="E38" s="17">
        <f t="shared" ref="E38:M38" si="18">IF(ROUND(E36*1.5,2)&lt;$G$122,ROUND(E36*1.5,2),IF($G$122&lt;E36,E36,$G$122))</f>
        <v>20.94</v>
      </c>
      <c r="F38" s="17">
        <f t="shared" si="18"/>
        <v>21.62</v>
      </c>
      <c r="G38" s="17">
        <f t="shared" si="18"/>
        <v>22.29</v>
      </c>
      <c r="H38" s="17">
        <f t="shared" si="18"/>
        <v>22.97</v>
      </c>
      <c r="I38" s="17">
        <f t="shared" si="18"/>
        <v>23.64</v>
      </c>
      <c r="J38" s="17">
        <f t="shared" si="18"/>
        <v>24.32</v>
      </c>
      <c r="K38" s="17">
        <f t="shared" si="18"/>
        <v>24.99</v>
      </c>
      <c r="L38" s="17">
        <f t="shared" si="18"/>
        <v>25.67</v>
      </c>
      <c r="M38" s="17">
        <f t="shared" si="18"/>
        <v>26.34</v>
      </c>
    </row>
    <row r="39" spans="1:13" s="62" customFormat="1" x14ac:dyDescent="0.2">
      <c r="A39" s="61"/>
      <c r="B39" s="61"/>
      <c r="C39" s="32" t="s">
        <v>46</v>
      </c>
      <c r="D39" s="17">
        <f>ROUND(D36*'Start Page'!$F$48,2)*$B$13</f>
        <v>0</v>
      </c>
      <c r="E39" s="17">
        <f>ROUND(E36*'Start Page'!$F$48,2)*$B$13</f>
        <v>0</v>
      </c>
      <c r="F39" s="17">
        <f>ROUND(F36*'Start Page'!$F$48,2)*$B$13</f>
        <v>0</v>
      </c>
      <c r="G39" s="17">
        <f>ROUND(G36*'Start Page'!$F$48,2)*$B$13</f>
        <v>0</v>
      </c>
      <c r="H39" s="17">
        <f>ROUND(H36*'Start Page'!$F$48,2)*$B$13</f>
        <v>0</v>
      </c>
      <c r="I39" s="17">
        <f>ROUND(I36*'Start Page'!$F$48,2)*$B$13</f>
        <v>0</v>
      </c>
      <c r="J39" s="17">
        <f>ROUND(J36*'Start Page'!$F$48,2)*$B$13</f>
        <v>0</v>
      </c>
      <c r="K39" s="17">
        <f>ROUND(K36*'Start Page'!$F$48,2)*$B$13</f>
        <v>0</v>
      </c>
      <c r="L39" s="17">
        <f>ROUND(L36*'Start Page'!$F$48,2)*$B$13</f>
        <v>0</v>
      </c>
      <c r="M39" s="17">
        <f>ROUND(M36*'Start Page'!$F$48,2)*$B$13</f>
        <v>0</v>
      </c>
    </row>
    <row r="40" spans="1:13" x14ac:dyDescent="0.2">
      <c r="A40" s="13"/>
      <c r="B40" s="13">
        <f>B35+B37</f>
        <v>144</v>
      </c>
      <c r="C40" s="20" t="s">
        <v>17</v>
      </c>
      <c r="D40" s="21">
        <f t="shared" ref="D40:M40" si="19">D35+D37+D39</f>
        <v>2202.3199999999997</v>
      </c>
      <c r="E40" s="21">
        <f t="shared" si="19"/>
        <v>2275.48</v>
      </c>
      <c r="F40" s="21">
        <f t="shared" si="19"/>
        <v>2349.02</v>
      </c>
      <c r="G40" s="21">
        <f t="shared" si="19"/>
        <v>2422.1799999999998</v>
      </c>
      <c r="H40" s="21">
        <f t="shared" si="19"/>
        <v>2495.7200000000003</v>
      </c>
      <c r="I40" s="21">
        <f t="shared" si="19"/>
        <v>2568.88</v>
      </c>
      <c r="J40" s="21">
        <f t="shared" si="19"/>
        <v>2642.42</v>
      </c>
      <c r="K40" s="21">
        <f t="shared" si="19"/>
        <v>2715.58</v>
      </c>
      <c r="L40" s="21">
        <f t="shared" si="19"/>
        <v>2789.12</v>
      </c>
      <c r="M40" s="21">
        <f t="shared" si="19"/>
        <v>2862.2799999999997</v>
      </c>
    </row>
    <row r="41" spans="1:13" x14ac:dyDescent="0.2">
      <c r="A41" s="13"/>
      <c r="B41" s="13"/>
      <c r="C41" s="20" t="s">
        <v>33</v>
      </c>
      <c r="D41" s="21">
        <f>D40*'Start Page'!$C$65</f>
        <v>57260.319999999992</v>
      </c>
      <c r="E41" s="21">
        <f>E40*'Start Page'!$C$65</f>
        <v>59162.48</v>
      </c>
      <c r="F41" s="21">
        <f>F40*'Start Page'!$C$65</f>
        <v>61074.52</v>
      </c>
      <c r="G41" s="21">
        <f>G40*'Start Page'!$C$65</f>
        <v>62976.679999999993</v>
      </c>
      <c r="H41" s="21">
        <f>H40*'Start Page'!$C$65</f>
        <v>64888.720000000008</v>
      </c>
      <c r="I41" s="21">
        <f>I40*'Start Page'!$C$65</f>
        <v>66790.880000000005</v>
      </c>
      <c r="J41" s="21">
        <f>J40*'Start Page'!$C$65</f>
        <v>68702.92</v>
      </c>
      <c r="K41" s="21">
        <f>K40*'Start Page'!$C$65</f>
        <v>70605.08</v>
      </c>
      <c r="L41" s="21">
        <f>L40*'Start Page'!$C$65</f>
        <v>72517.119999999995</v>
      </c>
      <c r="M41" s="21">
        <f>M40*'Start Page'!$C$65</f>
        <v>74419.28</v>
      </c>
    </row>
    <row r="42" spans="1:13" s="25" customFormat="1" x14ac:dyDescent="0.2">
      <c r="A42" s="22"/>
      <c r="B42" s="22"/>
      <c r="C42" s="23" t="s">
        <v>71</v>
      </c>
      <c r="D42" s="24">
        <f>D36*$B$13*'Start Page'!$C$65</f>
        <v>50581.440000000002</v>
      </c>
      <c r="E42" s="24">
        <f>E36*$B$13*'Start Page'!$C$65</f>
        <v>52266.240000000005</v>
      </c>
      <c r="F42" s="24">
        <f>F36*$B$13*'Start Page'!$C$65</f>
        <v>53951.040000000001</v>
      </c>
      <c r="G42" s="24">
        <f>G36*$B$13*'Start Page'!$C$65</f>
        <v>55635.840000000004</v>
      </c>
      <c r="H42" s="24">
        <f>H36*$B$13*'Start Page'!$C$65</f>
        <v>57320.639999999999</v>
      </c>
      <c r="I42" s="24">
        <f>I36*$B$13*'Start Page'!$C$65</f>
        <v>59005.440000000002</v>
      </c>
      <c r="J42" s="24">
        <f>J36*$B$13*'Start Page'!$C$65</f>
        <v>60690.240000000005</v>
      </c>
      <c r="K42" s="24">
        <f>K36*$B$13*'Start Page'!$C$65</f>
        <v>62375.040000000001</v>
      </c>
      <c r="L42" s="24">
        <f>L36*$B$13*'Start Page'!$C$65</f>
        <v>64059.840000000004</v>
      </c>
      <c r="M42" s="120">
        <f>M36*$B$13*'Start Page'!$C$65</f>
        <v>65744.639999999999</v>
      </c>
    </row>
    <row r="43" spans="1:13" x14ac:dyDescent="0.2">
      <c r="A43" s="13"/>
      <c r="B43" s="13"/>
      <c r="C43" s="14" t="s">
        <v>30</v>
      </c>
      <c r="D43" s="15">
        <f>'GS Pay Scale'!B13</f>
        <v>41365</v>
      </c>
      <c r="E43" s="15">
        <f>'GS Pay Scale'!C13</f>
        <v>42743</v>
      </c>
      <c r="F43" s="15">
        <f>'GS Pay Scale'!D13</f>
        <v>44122</v>
      </c>
      <c r="G43" s="15">
        <f>'GS Pay Scale'!E13</f>
        <v>45501</v>
      </c>
      <c r="H43" s="15">
        <f>'GS Pay Scale'!F13</f>
        <v>46879</v>
      </c>
      <c r="I43" s="15">
        <f>'GS Pay Scale'!G13</f>
        <v>48258</v>
      </c>
      <c r="J43" s="15">
        <f>'GS Pay Scale'!H13</f>
        <v>49637</v>
      </c>
      <c r="K43" s="15">
        <f>'GS Pay Scale'!I13</f>
        <v>51015</v>
      </c>
      <c r="L43" s="15">
        <f>'GS Pay Scale'!J13</f>
        <v>52394</v>
      </c>
      <c r="M43" s="15">
        <f>'GS Pay Scale'!K13</f>
        <v>53773</v>
      </c>
    </row>
    <row r="44" spans="1:13" x14ac:dyDescent="0.2">
      <c r="A44" s="13"/>
      <c r="B44" s="13">
        <v>106</v>
      </c>
      <c r="C44" s="16" t="s">
        <v>41</v>
      </c>
      <c r="D44" s="17">
        <f t="shared" ref="D44:M44" si="20">D45*106</f>
        <v>1591.06</v>
      </c>
      <c r="E44" s="17">
        <f t="shared" si="20"/>
        <v>1644.06</v>
      </c>
      <c r="F44" s="17">
        <f t="shared" si="20"/>
        <v>1697.0600000000002</v>
      </c>
      <c r="G44" s="17">
        <f t="shared" si="20"/>
        <v>1750.0600000000002</v>
      </c>
      <c r="H44" s="17">
        <f t="shared" si="20"/>
        <v>1803.0600000000002</v>
      </c>
      <c r="I44" s="17">
        <f t="shared" si="20"/>
        <v>1856.0600000000002</v>
      </c>
      <c r="J44" s="17">
        <f t="shared" si="20"/>
        <v>1909.0600000000002</v>
      </c>
      <c r="K44" s="17">
        <f t="shared" si="20"/>
        <v>1962.0600000000002</v>
      </c>
      <c r="L44" s="17">
        <f t="shared" si="20"/>
        <v>2015.0600000000002</v>
      </c>
      <c r="M44" s="17">
        <f t="shared" si="20"/>
        <v>2068.06</v>
      </c>
    </row>
    <row r="45" spans="1:13" x14ac:dyDescent="0.2">
      <c r="A45" s="13"/>
      <c r="B45" s="13"/>
      <c r="C45" s="16" t="s">
        <v>13</v>
      </c>
      <c r="D45" s="17">
        <f>ROUND(D43/2756,2)</f>
        <v>15.01</v>
      </c>
      <c r="E45" s="17">
        <f t="shared" ref="E45:M45" si="21">ROUND(E43/2756,2)</f>
        <v>15.51</v>
      </c>
      <c r="F45" s="17">
        <f t="shared" si="21"/>
        <v>16.010000000000002</v>
      </c>
      <c r="G45" s="17">
        <f t="shared" si="21"/>
        <v>16.510000000000002</v>
      </c>
      <c r="H45" s="17">
        <f t="shared" si="21"/>
        <v>17.010000000000002</v>
      </c>
      <c r="I45" s="17">
        <f t="shared" si="21"/>
        <v>17.510000000000002</v>
      </c>
      <c r="J45" s="17">
        <f t="shared" si="21"/>
        <v>18.010000000000002</v>
      </c>
      <c r="K45" s="17">
        <f t="shared" si="21"/>
        <v>18.510000000000002</v>
      </c>
      <c r="L45" s="17">
        <f t="shared" si="21"/>
        <v>19.010000000000002</v>
      </c>
      <c r="M45" s="17">
        <f t="shared" si="21"/>
        <v>19.510000000000002</v>
      </c>
    </row>
    <row r="46" spans="1:13" x14ac:dyDescent="0.2">
      <c r="A46" s="18"/>
      <c r="B46" s="19">
        <f>($G$3-53)*2</f>
        <v>38</v>
      </c>
      <c r="C46" s="16" t="s">
        <v>42</v>
      </c>
      <c r="D46" s="17">
        <f t="shared" ref="D46:M46" si="22">D47*$B$10</f>
        <v>855.76</v>
      </c>
      <c r="E46" s="17">
        <f t="shared" si="22"/>
        <v>884.26</v>
      </c>
      <c r="F46" s="17">
        <f t="shared" si="22"/>
        <v>912.76</v>
      </c>
      <c r="G46" s="17">
        <f t="shared" si="22"/>
        <v>941.26</v>
      </c>
      <c r="H46" s="17">
        <f t="shared" si="22"/>
        <v>969.76</v>
      </c>
      <c r="I46" s="17">
        <f t="shared" si="22"/>
        <v>998.26</v>
      </c>
      <c r="J46" s="17">
        <f t="shared" si="22"/>
        <v>1026.76</v>
      </c>
      <c r="K46" s="17">
        <f t="shared" si="22"/>
        <v>1055.26</v>
      </c>
      <c r="L46" s="17">
        <f t="shared" si="22"/>
        <v>1083.76</v>
      </c>
      <c r="M46" s="17">
        <f t="shared" si="22"/>
        <v>1112.26</v>
      </c>
    </row>
    <row r="47" spans="1:13" x14ac:dyDescent="0.2">
      <c r="A47" s="13" t="s">
        <v>12</v>
      </c>
      <c r="B47" s="13"/>
      <c r="C47" s="16" t="s">
        <v>14</v>
      </c>
      <c r="D47" s="17">
        <f>IF(ROUND(D45*1.5,2)&lt;$G$122,ROUND(D45*1.5,2),IF($G$122&lt;D45,D45,$G$122))</f>
        <v>22.52</v>
      </c>
      <c r="E47" s="17">
        <f t="shared" ref="E47:M47" si="23">IF(ROUND(E45*1.5,2)&lt;$G$122,ROUND(E45*1.5,2),IF($G$122&lt;E45,E45,$G$122))</f>
        <v>23.27</v>
      </c>
      <c r="F47" s="17">
        <f t="shared" si="23"/>
        <v>24.02</v>
      </c>
      <c r="G47" s="17">
        <f t="shared" si="23"/>
        <v>24.77</v>
      </c>
      <c r="H47" s="17">
        <f t="shared" si="23"/>
        <v>25.52</v>
      </c>
      <c r="I47" s="17">
        <f t="shared" si="23"/>
        <v>26.27</v>
      </c>
      <c r="J47" s="17">
        <f t="shared" si="23"/>
        <v>27.02</v>
      </c>
      <c r="K47" s="17">
        <f t="shared" si="23"/>
        <v>27.77</v>
      </c>
      <c r="L47" s="17">
        <f t="shared" si="23"/>
        <v>28.52</v>
      </c>
      <c r="M47" s="17">
        <f t="shared" si="23"/>
        <v>29.27</v>
      </c>
    </row>
    <row r="48" spans="1:13" s="62" customFormat="1" x14ac:dyDescent="0.2">
      <c r="A48" s="61"/>
      <c r="B48" s="61"/>
      <c r="C48" s="32" t="s">
        <v>46</v>
      </c>
      <c r="D48" s="17">
        <f>ROUND(D45*'Start Page'!$F$48,2)*$B$13</f>
        <v>0</v>
      </c>
      <c r="E48" s="17">
        <f>ROUND(E45*'Start Page'!$F$48,2)*$B$13</f>
        <v>0</v>
      </c>
      <c r="F48" s="17">
        <f>ROUND(F45*'Start Page'!$F$48,2)*$B$13</f>
        <v>0</v>
      </c>
      <c r="G48" s="17">
        <f>ROUND(G45*'Start Page'!$F$48,2)*$B$13</f>
        <v>0</v>
      </c>
      <c r="H48" s="17">
        <f>ROUND(H45*'Start Page'!$F$48,2)*$B$13</f>
        <v>0</v>
      </c>
      <c r="I48" s="17">
        <f>ROUND(I45*'Start Page'!$F$48,2)*$B$13</f>
        <v>0</v>
      </c>
      <c r="J48" s="17">
        <f>ROUND(J45*'Start Page'!$F$48,2)*$B$13</f>
        <v>0</v>
      </c>
      <c r="K48" s="17">
        <f>ROUND(K45*'Start Page'!$F$48,2)*$B$13</f>
        <v>0</v>
      </c>
      <c r="L48" s="17">
        <f>ROUND(L45*'Start Page'!$F$48,2)*$B$13</f>
        <v>0</v>
      </c>
      <c r="M48" s="17">
        <f>ROUND(M45*'Start Page'!$F$48,2)*$B$13</f>
        <v>0</v>
      </c>
    </row>
    <row r="49" spans="1:13" x14ac:dyDescent="0.2">
      <c r="A49" s="13"/>
      <c r="B49" s="13">
        <f>B44+B46</f>
        <v>144</v>
      </c>
      <c r="C49" s="20" t="s">
        <v>17</v>
      </c>
      <c r="D49" s="21">
        <f t="shared" ref="D49:M49" si="24">D44+D46+D48</f>
        <v>2446.8199999999997</v>
      </c>
      <c r="E49" s="21">
        <f t="shared" si="24"/>
        <v>2528.3199999999997</v>
      </c>
      <c r="F49" s="21">
        <f t="shared" si="24"/>
        <v>2609.8200000000002</v>
      </c>
      <c r="G49" s="21">
        <f t="shared" si="24"/>
        <v>2691.32</v>
      </c>
      <c r="H49" s="21">
        <f t="shared" si="24"/>
        <v>2772.82</v>
      </c>
      <c r="I49" s="21">
        <f t="shared" si="24"/>
        <v>2854.32</v>
      </c>
      <c r="J49" s="21">
        <f t="shared" si="24"/>
        <v>2935.82</v>
      </c>
      <c r="K49" s="21">
        <f t="shared" si="24"/>
        <v>3017.32</v>
      </c>
      <c r="L49" s="21">
        <f t="shared" si="24"/>
        <v>3098.82</v>
      </c>
      <c r="M49" s="21">
        <f t="shared" si="24"/>
        <v>3180.3199999999997</v>
      </c>
    </row>
    <row r="50" spans="1:13" x14ac:dyDescent="0.2">
      <c r="A50" s="13"/>
      <c r="B50" s="13"/>
      <c r="C50" s="20" t="s">
        <v>33</v>
      </c>
      <c r="D50" s="21">
        <f>D49*'Start Page'!$C$65</f>
        <v>63617.319999999992</v>
      </c>
      <c r="E50" s="21">
        <f>E49*'Start Page'!$C$65</f>
        <v>65736.319999999992</v>
      </c>
      <c r="F50" s="21">
        <f>F49*'Start Page'!$C$65</f>
        <v>67855.320000000007</v>
      </c>
      <c r="G50" s="21">
        <f>G49*'Start Page'!$C$65</f>
        <v>69974.320000000007</v>
      </c>
      <c r="H50" s="21">
        <f>H49*'Start Page'!$C$65</f>
        <v>72093.320000000007</v>
      </c>
      <c r="I50" s="21">
        <f>I49*'Start Page'!$C$65</f>
        <v>74212.320000000007</v>
      </c>
      <c r="J50" s="21">
        <f>J49*'Start Page'!$C$65</f>
        <v>76331.320000000007</v>
      </c>
      <c r="K50" s="21">
        <f>K49*'Start Page'!$C$65</f>
        <v>78450.320000000007</v>
      </c>
      <c r="L50" s="21">
        <f>L49*'Start Page'!$C$65</f>
        <v>80569.320000000007</v>
      </c>
      <c r="M50" s="21">
        <f>M49*'Start Page'!$C$65</f>
        <v>82688.319999999992</v>
      </c>
    </row>
    <row r="51" spans="1:13" s="25" customFormat="1" x14ac:dyDescent="0.2">
      <c r="A51" s="22"/>
      <c r="B51" s="22"/>
      <c r="C51" s="23" t="s">
        <v>71</v>
      </c>
      <c r="D51" s="24">
        <f>D45*$B$13*'Start Page'!$C$65</f>
        <v>56197.440000000002</v>
      </c>
      <c r="E51" s="24">
        <f>E45*$B$13*'Start Page'!$C$65</f>
        <v>58069.440000000002</v>
      </c>
      <c r="F51" s="24">
        <f>F45*$B$13*'Start Page'!$C$65</f>
        <v>59941.440000000002</v>
      </c>
      <c r="G51" s="24">
        <f>G45*$B$13*'Start Page'!$C$65</f>
        <v>61813.440000000002</v>
      </c>
      <c r="H51" s="24">
        <f>H45*$B$13*'Start Page'!$C$65</f>
        <v>63685.440000000002</v>
      </c>
      <c r="I51" s="24">
        <f>I45*$B$13*'Start Page'!$C$65</f>
        <v>65557.440000000002</v>
      </c>
      <c r="J51" s="24">
        <f>J45*$B$13*'Start Page'!$C$65</f>
        <v>67429.440000000002</v>
      </c>
      <c r="K51" s="24">
        <f>K45*$B$13*'Start Page'!$C$65</f>
        <v>69301.440000000002</v>
      </c>
      <c r="L51" s="24">
        <f>L45*$B$13*'Start Page'!$C$65</f>
        <v>71173.440000000002</v>
      </c>
      <c r="M51" s="120">
        <f>M45*$B$13*'Start Page'!$C$65</f>
        <v>73045.440000000002</v>
      </c>
    </row>
    <row r="52" spans="1:13" x14ac:dyDescent="0.2">
      <c r="A52" s="13"/>
      <c r="B52" s="13"/>
      <c r="C52" s="14" t="s">
        <v>30</v>
      </c>
      <c r="D52" s="15">
        <f>'GS Pay Scale'!B14</f>
        <v>45810</v>
      </c>
      <c r="E52" s="15">
        <f>'GS Pay Scale'!C14</f>
        <v>47337</v>
      </c>
      <c r="F52" s="15">
        <f>'GS Pay Scale'!D14</f>
        <v>48865</v>
      </c>
      <c r="G52" s="15">
        <f>'GS Pay Scale'!E14</f>
        <v>50392</v>
      </c>
      <c r="H52" s="15">
        <f>'GS Pay Scale'!F14</f>
        <v>51920</v>
      </c>
      <c r="I52" s="15">
        <f>'GS Pay Scale'!G14</f>
        <v>53447</v>
      </c>
      <c r="J52" s="15">
        <f>'GS Pay Scale'!H14</f>
        <v>54975</v>
      </c>
      <c r="K52" s="15">
        <f>'GS Pay Scale'!I14</f>
        <v>56502</v>
      </c>
      <c r="L52" s="15">
        <f>'GS Pay Scale'!J14</f>
        <v>58030</v>
      </c>
      <c r="M52" s="15">
        <f>'GS Pay Scale'!K14</f>
        <v>59557</v>
      </c>
    </row>
    <row r="53" spans="1:13" x14ac:dyDescent="0.2">
      <c r="A53" s="13"/>
      <c r="B53" s="13">
        <v>106</v>
      </c>
      <c r="C53" s="16" t="s">
        <v>41</v>
      </c>
      <c r="D53" s="17">
        <f t="shared" ref="D53:M53" si="25">D54*106</f>
        <v>1761.72</v>
      </c>
      <c r="E53" s="17">
        <f t="shared" si="25"/>
        <v>1821.08</v>
      </c>
      <c r="F53" s="17">
        <f t="shared" si="25"/>
        <v>1879.38</v>
      </c>
      <c r="G53" s="17">
        <f t="shared" si="25"/>
        <v>1937.68</v>
      </c>
      <c r="H53" s="17">
        <f t="shared" si="25"/>
        <v>1997.04</v>
      </c>
      <c r="I53" s="17">
        <f t="shared" si="25"/>
        <v>2055.34</v>
      </c>
      <c r="J53" s="17">
        <f t="shared" si="25"/>
        <v>2114.6999999999998</v>
      </c>
      <c r="K53" s="17">
        <f t="shared" si="25"/>
        <v>2173</v>
      </c>
      <c r="L53" s="17">
        <f t="shared" si="25"/>
        <v>2232.3599999999997</v>
      </c>
      <c r="M53" s="17">
        <f t="shared" si="25"/>
        <v>2290.66</v>
      </c>
    </row>
    <row r="54" spans="1:13" x14ac:dyDescent="0.2">
      <c r="A54" s="13"/>
      <c r="B54" s="13"/>
      <c r="C54" s="16" t="s">
        <v>13</v>
      </c>
      <c r="D54" s="17">
        <f>ROUND(D52/2756,2)</f>
        <v>16.62</v>
      </c>
      <c r="E54" s="17">
        <f t="shared" ref="E54:M54" si="26">ROUND(E52/2756,2)</f>
        <v>17.18</v>
      </c>
      <c r="F54" s="17">
        <f t="shared" si="26"/>
        <v>17.73</v>
      </c>
      <c r="G54" s="17">
        <f t="shared" si="26"/>
        <v>18.28</v>
      </c>
      <c r="H54" s="17">
        <f t="shared" si="26"/>
        <v>18.84</v>
      </c>
      <c r="I54" s="17">
        <f t="shared" si="26"/>
        <v>19.39</v>
      </c>
      <c r="J54" s="17">
        <f t="shared" si="26"/>
        <v>19.95</v>
      </c>
      <c r="K54" s="17">
        <f t="shared" si="26"/>
        <v>20.5</v>
      </c>
      <c r="L54" s="17">
        <f t="shared" si="26"/>
        <v>21.06</v>
      </c>
      <c r="M54" s="17">
        <f t="shared" si="26"/>
        <v>21.61</v>
      </c>
    </row>
    <row r="55" spans="1:13" x14ac:dyDescent="0.2">
      <c r="A55" s="18"/>
      <c r="B55" s="19">
        <f>($G$3-53)*2</f>
        <v>38</v>
      </c>
      <c r="C55" s="16" t="s">
        <v>42</v>
      </c>
      <c r="D55" s="17">
        <f t="shared" ref="D55:M55" si="27">D56*$B$10</f>
        <v>947.34</v>
      </c>
      <c r="E55" s="17">
        <f t="shared" si="27"/>
        <v>979.26</v>
      </c>
      <c r="F55" s="17">
        <f t="shared" si="27"/>
        <v>1010.8000000000001</v>
      </c>
      <c r="G55" s="17">
        <f t="shared" si="27"/>
        <v>1041.96</v>
      </c>
      <c r="H55" s="17">
        <f t="shared" si="27"/>
        <v>1073.8800000000001</v>
      </c>
      <c r="I55" s="17">
        <f t="shared" si="27"/>
        <v>1105.42</v>
      </c>
      <c r="J55" s="17">
        <f t="shared" si="27"/>
        <v>1137.3399999999999</v>
      </c>
      <c r="K55" s="17">
        <f t="shared" si="27"/>
        <v>1168.5</v>
      </c>
      <c r="L55" s="17">
        <f t="shared" si="27"/>
        <v>1200.42</v>
      </c>
      <c r="M55" s="17">
        <f t="shared" si="27"/>
        <v>1231.96</v>
      </c>
    </row>
    <row r="56" spans="1:13" x14ac:dyDescent="0.2">
      <c r="A56" s="13" t="s">
        <v>15</v>
      </c>
      <c r="B56" s="13"/>
      <c r="C56" s="16" t="s">
        <v>14</v>
      </c>
      <c r="D56" s="17">
        <f>IF(ROUND(D54*1.5,2)&lt;$G$122,ROUND(D54*1.5,2),IF($G$122&lt;D54,D54,$G$122))</f>
        <v>24.93</v>
      </c>
      <c r="E56" s="17">
        <f t="shared" ref="E56:M56" si="28">IF(ROUND(E54*1.5,2)&lt;$G$122,ROUND(E54*1.5,2),IF($G$122&lt;E54,E54,$G$122))</f>
        <v>25.77</v>
      </c>
      <c r="F56" s="17">
        <f t="shared" si="28"/>
        <v>26.6</v>
      </c>
      <c r="G56" s="17">
        <f t="shared" si="28"/>
        <v>27.42</v>
      </c>
      <c r="H56" s="17">
        <f t="shared" si="28"/>
        <v>28.26</v>
      </c>
      <c r="I56" s="17">
        <f t="shared" si="28"/>
        <v>29.09</v>
      </c>
      <c r="J56" s="17">
        <f t="shared" si="28"/>
        <v>29.93</v>
      </c>
      <c r="K56" s="17">
        <f t="shared" si="28"/>
        <v>30.75</v>
      </c>
      <c r="L56" s="17">
        <f t="shared" si="28"/>
        <v>31.59</v>
      </c>
      <c r="M56" s="17">
        <f t="shared" si="28"/>
        <v>32.42</v>
      </c>
    </row>
    <row r="57" spans="1:13" s="62" customFormat="1" x14ac:dyDescent="0.2">
      <c r="A57" s="61"/>
      <c r="B57" s="61"/>
      <c r="C57" s="32" t="s">
        <v>46</v>
      </c>
      <c r="D57" s="17">
        <f>ROUND(D54*'Start Page'!$F$48,2)*$B$13</f>
        <v>0</v>
      </c>
      <c r="E57" s="17">
        <f>ROUND(E54*'Start Page'!$F$48,2)*$B$13</f>
        <v>0</v>
      </c>
      <c r="F57" s="17">
        <f>ROUND(F54*'Start Page'!$F$48,2)*$B$13</f>
        <v>0</v>
      </c>
      <c r="G57" s="17">
        <f>ROUND(G54*'Start Page'!$F$48,2)*$B$13</f>
        <v>0</v>
      </c>
      <c r="H57" s="17">
        <f>ROUND(H54*'Start Page'!$F$48,2)*$B$13</f>
        <v>0</v>
      </c>
      <c r="I57" s="17">
        <f>ROUND(I54*'Start Page'!$F$48,2)*$B$13</f>
        <v>0</v>
      </c>
      <c r="J57" s="17">
        <f>ROUND(J54*'Start Page'!$F$48,2)*$B$13</f>
        <v>0</v>
      </c>
      <c r="K57" s="17">
        <f>ROUND(K54*'Start Page'!$F$48,2)*$B$13</f>
        <v>0</v>
      </c>
      <c r="L57" s="17">
        <f>ROUND(L54*'Start Page'!$F$48,2)*$B$13</f>
        <v>0</v>
      </c>
      <c r="M57" s="17">
        <f>ROUND(M54*'Start Page'!$F$48,2)*$B$13</f>
        <v>0</v>
      </c>
    </row>
    <row r="58" spans="1:13" x14ac:dyDescent="0.2">
      <c r="A58" s="13"/>
      <c r="B58" s="13">
        <f>B53+B55</f>
        <v>144</v>
      </c>
      <c r="C58" s="20" t="s">
        <v>17</v>
      </c>
      <c r="D58" s="21">
        <f t="shared" ref="D58:M58" si="29">D53+D55+D57</f>
        <v>2709.06</v>
      </c>
      <c r="E58" s="21">
        <f t="shared" si="29"/>
        <v>2800.34</v>
      </c>
      <c r="F58" s="21">
        <f t="shared" si="29"/>
        <v>2890.1800000000003</v>
      </c>
      <c r="G58" s="21">
        <f t="shared" si="29"/>
        <v>2979.6400000000003</v>
      </c>
      <c r="H58" s="21">
        <f t="shared" si="29"/>
        <v>3070.92</v>
      </c>
      <c r="I58" s="21">
        <f t="shared" si="29"/>
        <v>3160.76</v>
      </c>
      <c r="J58" s="21">
        <f t="shared" si="29"/>
        <v>3252.04</v>
      </c>
      <c r="K58" s="21">
        <f t="shared" si="29"/>
        <v>3341.5</v>
      </c>
      <c r="L58" s="21">
        <f t="shared" si="29"/>
        <v>3432.7799999999997</v>
      </c>
      <c r="M58" s="21">
        <f t="shared" si="29"/>
        <v>3522.62</v>
      </c>
    </row>
    <row r="59" spans="1:13" x14ac:dyDescent="0.2">
      <c r="A59" s="13"/>
      <c r="B59" s="13"/>
      <c r="C59" s="20" t="s">
        <v>33</v>
      </c>
      <c r="D59" s="21">
        <f>D58*'Start Page'!$C$65</f>
        <v>70435.56</v>
      </c>
      <c r="E59" s="21">
        <f>E58*'Start Page'!$C$65</f>
        <v>72808.84</v>
      </c>
      <c r="F59" s="21">
        <f>F58*'Start Page'!$C$65</f>
        <v>75144.680000000008</v>
      </c>
      <c r="G59" s="21">
        <f>G58*'Start Page'!$C$65</f>
        <v>77470.640000000014</v>
      </c>
      <c r="H59" s="21">
        <f>H58*'Start Page'!$C$65</f>
        <v>79843.92</v>
      </c>
      <c r="I59" s="21">
        <f>I58*'Start Page'!$C$65</f>
        <v>82179.760000000009</v>
      </c>
      <c r="J59" s="21">
        <f>J58*'Start Page'!$C$65</f>
        <v>84553.04</v>
      </c>
      <c r="K59" s="21">
        <f>K58*'Start Page'!$C$65</f>
        <v>86879</v>
      </c>
      <c r="L59" s="21">
        <f>L58*'Start Page'!$C$65</f>
        <v>89252.28</v>
      </c>
      <c r="M59" s="21">
        <f>M58*'Start Page'!$C$65</f>
        <v>91588.12</v>
      </c>
    </row>
    <row r="60" spans="1:13" s="25" customFormat="1" x14ac:dyDescent="0.2">
      <c r="A60" s="22"/>
      <c r="B60" s="22"/>
      <c r="C60" s="23" t="s">
        <v>71</v>
      </c>
      <c r="D60" s="24">
        <f>D54*$B$13*'Start Page'!$C$65</f>
        <v>62225.280000000006</v>
      </c>
      <c r="E60" s="24">
        <f>E54*$B$13*'Start Page'!$C$65</f>
        <v>64321.919999999998</v>
      </c>
      <c r="F60" s="24">
        <f>F54*$B$13*'Start Page'!$C$65</f>
        <v>66381.119999999995</v>
      </c>
      <c r="G60" s="24">
        <f>G54*$B$13*'Start Page'!$C$65</f>
        <v>68440.320000000007</v>
      </c>
      <c r="H60" s="24">
        <f>H54*$B$13*'Start Page'!$C$65</f>
        <v>70536.960000000006</v>
      </c>
      <c r="I60" s="24">
        <f>I54*$B$13*'Start Page'!$C$65</f>
        <v>72596.160000000003</v>
      </c>
      <c r="J60" s="24">
        <f>J54*$B$13*'Start Page'!$C$65</f>
        <v>74692.799999999988</v>
      </c>
      <c r="K60" s="24">
        <f>K54*$B$13*'Start Page'!$C$65</f>
        <v>76752</v>
      </c>
      <c r="L60" s="24">
        <f>L54*$B$13*'Start Page'!$C$65</f>
        <v>78848.639999999999</v>
      </c>
      <c r="M60" s="120">
        <f>M54*$B$13*'Start Page'!$C$65</f>
        <v>80907.839999999997</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50598</v>
      </c>
      <c r="E62" s="15">
        <f>'GS Pay Scale'!C15</f>
        <v>52285</v>
      </c>
      <c r="F62" s="15">
        <f>'GS Pay Scale'!D15</f>
        <v>53971</v>
      </c>
      <c r="G62" s="15">
        <f>'GS Pay Scale'!E15</f>
        <v>55658</v>
      </c>
      <c r="H62" s="15">
        <f>'GS Pay Scale'!F15</f>
        <v>57345</v>
      </c>
      <c r="I62" s="15">
        <f>'GS Pay Scale'!G15</f>
        <v>59031</v>
      </c>
      <c r="J62" s="15">
        <f>'GS Pay Scale'!H15</f>
        <v>60718</v>
      </c>
      <c r="K62" s="15">
        <f>'GS Pay Scale'!I15</f>
        <v>62405</v>
      </c>
      <c r="L62" s="15">
        <f>'GS Pay Scale'!J15</f>
        <v>64091</v>
      </c>
      <c r="M62" s="15">
        <f>'GS Pay Scale'!K15</f>
        <v>65778</v>
      </c>
    </row>
    <row r="63" spans="1:13" x14ac:dyDescent="0.2">
      <c r="A63" s="13"/>
      <c r="B63" s="13">
        <v>106</v>
      </c>
      <c r="C63" s="16" t="s">
        <v>41</v>
      </c>
      <c r="D63" s="17">
        <f t="shared" ref="D63:M63" si="30">D64*106</f>
        <v>1946.1599999999999</v>
      </c>
      <c r="E63" s="17">
        <f t="shared" si="30"/>
        <v>2010.82</v>
      </c>
      <c r="F63" s="17">
        <f t="shared" si="30"/>
        <v>2075.48</v>
      </c>
      <c r="G63" s="17">
        <f t="shared" si="30"/>
        <v>2141.1999999999998</v>
      </c>
      <c r="H63" s="17">
        <f t="shared" si="30"/>
        <v>2205.8599999999997</v>
      </c>
      <c r="I63" s="17">
        <f t="shared" si="30"/>
        <v>2270.52</v>
      </c>
      <c r="J63" s="17">
        <f t="shared" si="30"/>
        <v>2335.1800000000003</v>
      </c>
      <c r="K63" s="17">
        <f t="shared" si="30"/>
        <v>2399.84</v>
      </c>
      <c r="L63" s="17">
        <f t="shared" si="30"/>
        <v>2465.56</v>
      </c>
      <c r="M63" s="17">
        <f t="shared" si="30"/>
        <v>2530.2200000000003</v>
      </c>
    </row>
    <row r="64" spans="1:13" x14ac:dyDescent="0.2">
      <c r="A64" s="13"/>
      <c r="B64" s="13"/>
      <c r="C64" s="16" t="s">
        <v>13</v>
      </c>
      <c r="D64" s="17">
        <f>ROUND(D62/2756,2)</f>
        <v>18.36</v>
      </c>
      <c r="E64" s="17">
        <f t="shared" ref="E64:M64" si="31">ROUND(E62/2756,2)</f>
        <v>18.97</v>
      </c>
      <c r="F64" s="17">
        <f t="shared" si="31"/>
        <v>19.579999999999998</v>
      </c>
      <c r="G64" s="17">
        <f t="shared" si="31"/>
        <v>20.2</v>
      </c>
      <c r="H64" s="17">
        <f t="shared" si="31"/>
        <v>20.81</v>
      </c>
      <c r="I64" s="17">
        <f t="shared" si="31"/>
        <v>21.42</v>
      </c>
      <c r="J64" s="17">
        <f t="shared" si="31"/>
        <v>22.03</v>
      </c>
      <c r="K64" s="17">
        <f t="shared" si="31"/>
        <v>22.64</v>
      </c>
      <c r="L64" s="17">
        <f t="shared" si="31"/>
        <v>23.26</v>
      </c>
      <c r="M64" s="17">
        <f t="shared" si="31"/>
        <v>23.87</v>
      </c>
    </row>
    <row r="65" spans="1:13" x14ac:dyDescent="0.2">
      <c r="A65" s="18"/>
      <c r="B65" s="19">
        <f>($G$3-53)*2</f>
        <v>38</v>
      </c>
      <c r="C65" s="16" t="s">
        <v>42</v>
      </c>
      <c r="D65" s="17">
        <f t="shared" ref="D65:M65" si="32">D66*$B$10</f>
        <v>1046.52</v>
      </c>
      <c r="E65" s="17">
        <f t="shared" si="32"/>
        <v>1081.48</v>
      </c>
      <c r="F65" s="17">
        <f t="shared" si="32"/>
        <v>1116.06</v>
      </c>
      <c r="G65" s="17">
        <f t="shared" si="32"/>
        <v>1151.4000000000001</v>
      </c>
      <c r="H65" s="17">
        <f t="shared" si="32"/>
        <v>1186.3599999999999</v>
      </c>
      <c r="I65" s="17">
        <f t="shared" si="32"/>
        <v>1220.94</v>
      </c>
      <c r="J65" s="17">
        <f t="shared" si="32"/>
        <v>1255.8999999999999</v>
      </c>
      <c r="K65" s="17">
        <f t="shared" si="32"/>
        <v>1290.48</v>
      </c>
      <c r="L65" s="17">
        <f t="shared" si="32"/>
        <v>1325.82</v>
      </c>
      <c r="M65" s="17">
        <f t="shared" si="32"/>
        <v>1360.7800000000002</v>
      </c>
    </row>
    <row r="66" spans="1:13" x14ac:dyDescent="0.2">
      <c r="A66" s="13" t="s">
        <v>21</v>
      </c>
      <c r="B66" s="13"/>
      <c r="C66" s="16" t="s">
        <v>14</v>
      </c>
      <c r="D66" s="17">
        <f>IF(ROUND(D64*1.5,2)&lt;$G$122,ROUND(D64*1.5,2),IF($G$122&lt;D64,D64,$G$122))</f>
        <v>27.54</v>
      </c>
      <c r="E66" s="17">
        <f t="shared" ref="E66:M66" si="33">IF(ROUND(E64*1.5,2)&lt;$G$122,ROUND(E64*1.5,2),IF($G$122&lt;E64,E64,$G$122))</f>
        <v>28.46</v>
      </c>
      <c r="F66" s="17">
        <f t="shared" si="33"/>
        <v>29.37</v>
      </c>
      <c r="G66" s="17">
        <f t="shared" si="33"/>
        <v>30.3</v>
      </c>
      <c r="H66" s="17">
        <f t="shared" si="33"/>
        <v>31.22</v>
      </c>
      <c r="I66" s="17">
        <f t="shared" si="33"/>
        <v>32.130000000000003</v>
      </c>
      <c r="J66" s="17">
        <f t="shared" si="33"/>
        <v>33.049999999999997</v>
      </c>
      <c r="K66" s="17">
        <f t="shared" si="33"/>
        <v>33.96</v>
      </c>
      <c r="L66" s="17">
        <f t="shared" si="33"/>
        <v>34.89</v>
      </c>
      <c r="M66" s="17">
        <f t="shared" si="33"/>
        <v>35.81</v>
      </c>
    </row>
    <row r="67" spans="1:13" s="62" customFormat="1" x14ac:dyDescent="0.2">
      <c r="A67" s="61"/>
      <c r="B67" s="61"/>
      <c r="C67" s="32" t="s">
        <v>46</v>
      </c>
      <c r="D67" s="17">
        <f>ROUND(D64*'Start Page'!$F$48,2)*$B$13</f>
        <v>0</v>
      </c>
      <c r="E67" s="17">
        <f>ROUND(E64*'Start Page'!$F$48,2)*$B$13</f>
        <v>0</v>
      </c>
      <c r="F67" s="17">
        <f>ROUND(F64*'Start Page'!$F$48,2)*$B$13</f>
        <v>0</v>
      </c>
      <c r="G67" s="17">
        <f>ROUND(G64*'Start Page'!$F$48,2)*$B$13</f>
        <v>0</v>
      </c>
      <c r="H67" s="17">
        <f>ROUND(H64*'Start Page'!$F$48,2)*$B$13</f>
        <v>0</v>
      </c>
      <c r="I67" s="17">
        <f>ROUND(I64*'Start Page'!$F$48,2)*$B$13</f>
        <v>0</v>
      </c>
      <c r="J67" s="17">
        <f>ROUND(J64*'Start Page'!$F$48,2)*$B$13</f>
        <v>0</v>
      </c>
      <c r="K67" s="17">
        <f>ROUND(K64*'Start Page'!$F$48,2)*$B$13</f>
        <v>0</v>
      </c>
      <c r="L67" s="17">
        <f>ROUND(L64*'Start Page'!$F$48,2)*$B$13</f>
        <v>0</v>
      </c>
      <c r="M67" s="17">
        <f>ROUND(M64*'Start Page'!$F$48,2)*$B$13</f>
        <v>0</v>
      </c>
    </row>
    <row r="68" spans="1:13" x14ac:dyDescent="0.2">
      <c r="A68" s="13"/>
      <c r="B68" s="13">
        <f>B63+B65</f>
        <v>144</v>
      </c>
      <c r="C68" s="20" t="s">
        <v>17</v>
      </c>
      <c r="D68" s="21">
        <f t="shared" ref="D68:M68" si="34">D63+D65+D67</f>
        <v>2992.68</v>
      </c>
      <c r="E68" s="21">
        <f t="shared" si="34"/>
        <v>3092.3</v>
      </c>
      <c r="F68" s="21">
        <f t="shared" si="34"/>
        <v>3191.54</v>
      </c>
      <c r="G68" s="21">
        <f t="shared" si="34"/>
        <v>3292.6</v>
      </c>
      <c r="H68" s="21">
        <f t="shared" si="34"/>
        <v>3392.2199999999993</v>
      </c>
      <c r="I68" s="21">
        <f t="shared" si="34"/>
        <v>3491.46</v>
      </c>
      <c r="J68" s="21">
        <f t="shared" si="34"/>
        <v>3591.08</v>
      </c>
      <c r="K68" s="21">
        <f t="shared" si="34"/>
        <v>3690.32</v>
      </c>
      <c r="L68" s="21">
        <f t="shared" si="34"/>
        <v>3791.38</v>
      </c>
      <c r="M68" s="21">
        <f t="shared" si="34"/>
        <v>3891.0000000000005</v>
      </c>
    </row>
    <row r="69" spans="1:13" x14ac:dyDescent="0.2">
      <c r="A69" s="13"/>
      <c r="B69" s="13"/>
      <c r="C69" s="20" t="s">
        <v>33</v>
      </c>
      <c r="D69" s="21">
        <f>D68*'Start Page'!$C$65</f>
        <v>77809.679999999993</v>
      </c>
      <c r="E69" s="21">
        <f>E68*'Start Page'!$C$65</f>
        <v>80399.8</v>
      </c>
      <c r="F69" s="21">
        <f>F68*'Start Page'!$C$65</f>
        <v>82980.039999999994</v>
      </c>
      <c r="G69" s="21">
        <f>G68*'Start Page'!$C$65</f>
        <v>85607.599999999991</v>
      </c>
      <c r="H69" s="21">
        <f>H68*'Start Page'!$C$65</f>
        <v>88197.719999999987</v>
      </c>
      <c r="I69" s="21">
        <f>I68*'Start Page'!$C$65</f>
        <v>90777.96</v>
      </c>
      <c r="J69" s="21">
        <f>J68*'Start Page'!$C$65</f>
        <v>93368.08</v>
      </c>
      <c r="K69" s="21">
        <f>K68*'Start Page'!$C$65</f>
        <v>95948.32</v>
      </c>
      <c r="L69" s="21">
        <f>L68*'Start Page'!$C$65</f>
        <v>98575.88</v>
      </c>
      <c r="M69" s="21">
        <f>M68*'Start Page'!$C$65</f>
        <v>101166.00000000001</v>
      </c>
    </row>
    <row r="70" spans="1:13" s="25" customFormat="1" x14ac:dyDescent="0.2">
      <c r="A70" s="22"/>
      <c r="B70" s="22"/>
      <c r="C70" s="23" t="s">
        <v>71</v>
      </c>
      <c r="D70" s="24">
        <f>D64*$B$13*'Start Page'!$C$65</f>
        <v>68739.839999999997</v>
      </c>
      <c r="E70" s="24">
        <f>E64*$B$13*'Start Page'!$C$65</f>
        <v>71023.679999999993</v>
      </c>
      <c r="F70" s="24">
        <f>F64*$B$13*'Start Page'!$C$65</f>
        <v>73307.51999999999</v>
      </c>
      <c r="G70" s="24">
        <f>G64*$B$13*'Start Page'!$C$65</f>
        <v>75628.799999999988</v>
      </c>
      <c r="H70" s="24">
        <f>H64*$B$13*'Start Page'!$C$65</f>
        <v>77912.639999999999</v>
      </c>
      <c r="I70" s="24">
        <f>I64*$B$13*'Start Page'!$C$65</f>
        <v>80196.48000000001</v>
      </c>
      <c r="J70" s="24">
        <f>J64*$B$13*'Start Page'!$C$65</f>
        <v>82480.320000000007</v>
      </c>
      <c r="K70" s="24">
        <f>K64*$B$13*'Start Page'!$C$65</f>
        <v>84764.160000000003</v>
      </c>
      <c r="L70" s="24">
        <f>L64*$B$13*'Start Page'!$C$65</f>
        <v>87085.440000000002</v>
      </c>
      <c r="M70" s="120">
        <f>M64*$B$13*'Start Page'!$C$65</f>
        <v>89369.279999999999</v>
      </c>
    </row>
    <row r="71" spans="1:13" x14ac:dyDescent="0.2">
      <c r="A71" s="13"/>
      <c r="B71" s="13"/>
      <c r="C71" s="14" t="s">
        <v>30</v>
      </c>
      <c r="D71" s="15">
        <f>'GS Pay Scale'!B16</f>
        <v>55720</v>
      </c>
      <c r="E71" s="15">
        <f>'GS Pay Scale'!C16</f>
        <v>57578</v>
      </c>
      <c r="F71" s="15">
        <f>'GS Pay Scale'!D16</f>
        <v>59435</v>
      </c>
      <c r="G71" s="15">
        <f>'GS Pay Scale'!E16</f>
        <v>61293</v>
      </c>
      <c r="H71" s="15">
        <f>'GS Pay Scale'!F16</f>
        <v>63150</v>
      </c>
      <c r="I71" s="15">
        <f>'GS Pay Scale'!G16</f>
        <v>65008</v>
      </c>
      <c r="J71" s="15">
        <f>'GS Pay Scale'!H16</f>
        <v>66865</v>
      </c>
      <c r="K71" s="15">
        <f>'GS Pay Scale'!I16</f>
        <v>68722</v>
      </c>
      <c r="L71" s="15">
        <f>'GS Pay Scale'!J16</f>
        <v>70580</v>
      </c>
      <c r="M71" s="15">
        <f>'GS Pay Scale'!K16</f>
        <v>72437</v>
      </c>
    </row>
    <row r="72" spans="1:13" x14ac:dyDescent="0.2">
      <c r="A72" s="13"/>
      <c r="B72" s="13">
        <v>106</v>
      </c>
      <c r="C72" s="16" t="s">
        <v>41</v>
      </c>
      <c r="D72" s="17">
        <f t="shared" ref="D72:M72" si="35">D73*106</f>
        <v>2143.3199999999997</v>
      </c>
      <c r="E72" s="17">
        <f t="shared" si="35"/>
        <v>2214.34</v>
      </c>
      <c r="F72" s="17">
        <f t="shared" si="35"/>
        <v>2286.42</v>
      </c>
      <c r="G72" s="17">
        <f t="shared" si="35"/>
        <v>2357.44</v>
      </c>
      <c r="H72" s="17">
        <f t="shared" si="35"/>
        <v>2428.46</v>
      </c>
      <c r="I72" s="17">
        <f t="shared" si="35"/>
        <v>2500.54</v>
      </c>
      <c r="J72" s="17">
        <f t="shared" si="35"/>
        <v>2571.56</v>
      </c>
      <c r="K72" s="17">
        <f t="shared" si="35"/>
        <v>2643.6400000000003</v>
      </c>
      <c r="L72" s="17">
        <f t="shared" si="35"/>
        <v>2714.66</v>
      </c>
      <c r="M72" s="17">
        <f t="shared" si="35"/>
        <v>2785.6800000000003</v>
      </c>
    </row>
    <row r="73" spans="1:13" x14ac:dyDescent="0.2">
      <c r="A73" s="13"/>
      <c r="B73" s="13"/>
      <c r="C73" s="16" t="s">
        <v>13</v>
      </c>
      <c r="D73" s="17">
        <f t="shared" ref="D73:M73" si="36">ROUND(D71/2756,2)</f>
        <v>20.22</v>
      </c>
      <c r="E73" s="17">
        <f t="shared" si="36"/>
        <v>20.89</v>
      </c>
      <c r="F73" s="17">
        <f t="shared" si="36"/>
        <v>21.57</v>
      </c>
      <c r="G73" s="17">
        <f t="shared" si="36"/>
        <v>22.24</v>
      </c>
      <c r="H73" s="17">
        <f t="shared" si="36"/>
        <v>22.91</v>
      </c>
      <c r="I73" s="17">
        <f t="shared" si="36"/>
        <v>23.59</v>
      </c>
      <c r="J73" s="17">
        <f t="shared" si="36"/>
        <v>24.26</v>
      </c>
      <c r="K73" s="17">
        <f t="shared" si="36"/>
        <v>24.94</v>
      </c>
      <c r="L73" s="17">
        <f t="shared" si="36"/>
        <v>25.61</v>
      </c>
      <c r="M73" s="17">
        <f t="shared" si="36"/>
        <v>26.28</v>
      </c>
    </row>
    <row r="74" spans="1:13" x14ac:dyDescent="0.2">
      <c r="A74" s="18"/>
      <c r="B74" s="19">
        <f>($G$3-53)*2</f>
        <v>38</v>
      </c>
      <c r="C74" s="16" t="s">
        <v>42</v>
      </c>
      <c r="D74" s="17">
        <f t="shared" ref="D74:M74" si="37">D75*$B$10</f>
        <v>1152.54</v>
      </c>
      <c r="E74" s="17">
        <f t="shared" si="37"/>
        <v>1190.92</v>
      </c>
      <c r="F74" s="17">
        <f t="shared" si="37"/>
        <v>1229.68</v>
      </c>
      <c r="G74" s="17">
        <f t="shared" si="37"/>
        <v>1267.68</v>
      </c>
      <c r="H74" s="17">
        <f t="shared" si="37"/>
        <v>1306.06</v>
      </c>
      <c r="I74" s="17">
        <f t="shared" si="37"/>
        <v>1344.82</v>
      </c>
      <c r="J74" s="17">
        <f t="shared" si="37"/>
        <v>1382.82</v>
      </c>
      <c r="K74" s="17">
        <f t="shared" si="37"/>
        <v>1421.58</v>
      </c>
      <c r="L74" s="17">
        <f t="shared" si="37"/>
        <v>1459.96</v>
      </c>
      <c r="M74" s="17">
        <f t="shared" si="37"/>
        <v>1497.96</v>
      </c>
    </row>
    <row r="75" spans="1:13" x14ac:dyDescent="0.2">
      <c r="A75" s="13" t="s">
        <v>25</v>
      </c>
      <c r="B75" s="13"/>
      <c r="C75" s="16" t="s">
        <v>14</v>
      </c>
      <c r="D75" s="17">
        <f t="shared" ref="D75:M75" si="38">IF(ROUND(D73*1.5,2)&lt;$G$122,ROUND(D73*1.5,2),IF($G$122&lt;D73,D73,$G$122))</f>
        <v>30.33</v>
      </c>
      <c r="E75" s="17">
        <f t="shared" si="38"/>
        <v>31.34</v>
      </c>
      <c r="F75" s="17">
        <f t="shared" si="38"/>
        <v>32.36</v>
      </c>
      <c r="G75" s="17">
        <f t="shared" si="38"/>
        <v>33.36</v>
      </c>
      <c r="H75" s="17">
        <f t="shared" si="38"/>
        <v>34.369999999999997</v>
      </c>
      <c r="I75" s="17">
        <f t="shared" si="38"/>
        <v>35.39</v>
      </c>
      <c r="J75" s="17">
        <f t="shared" si="38"/>
        <v>36.39</v>
      </c>
      <c r="K75" s="17">
        <f t="shared" si="38"/>
        <v>37.409999999999997</v>
      </c>
      <c r="L75" s="17">
        <f t="shared" si="38"/>
        <v>38.42</v>
      </c>
      <c r="M75" s="17">
        <f t="shared" si="38"/>
        <v>39.42</v>
      </c>
    </row>
    <row r="76" spans="1:13" s="62" customFormat="1" x14ac:dyDescent="0.2">
      <c r="A76" s="61"/>
      <c r="B76" s="61"/>
      <c r="C76" s="32" t="s">
        <v>46</v>
      </c>
      <c r="D76" s="17">
        <f>ROUND(D73*'Start Page'!$F$48,2)*$B$13</f>
        <v>0</v>
      </c>
      <c r="E76" s="17">
        <f>ROUND(E73*'Start Page'!$F$48,2)*$B$13</f>
        <v>0</v>
      </c>
      <c r="F76" s="17">
        <f>ROUND(F73*'Start Page'!$F$48,2)*$B$13</f>
        <v>0</v>
      </c>
      <c r="G76" s="17">
        <f>ROUND(G73*'Start Page'!$F$48,2)*$B$13</f>
        <v>0</v>
      </c>
      <c r="H76" s="17">
        <f>ROUND(H73*'Start Page'!$F$48,2)*$B$13</f>
        <v>0</v>
      </c>
      <c r="I76" s="17">
        <f>ROUND(I73*'Start Page'!$F$48,2)*$B$13</f>
        <v>0</v>
      </c>
      <c r="J76" s="17">
        <f>ROUND(J73*'Start Page'!$F$48,2)*$B$13</f>
        <v>0</v>
      </c>
      <c r="K76" s="17">
        <f>ROUND(K73*'Start Page'!$F$48,2)*$B$13</f>
        <v>0</v>
      </c>
      <c r="L76" s="17">
        <f>ROUND(L73*'Start Page'!$F$48,2)*$B$13</f>
        <v>0</v>
      </c>
      <c r="M76" s="17">
        <f>ROUND(M73*'Start Page'!$F$48,2)*$B$13</f>
        <v>0</v>
      </c>
    </row>
    <row r="77" spans="1:13" x14ac:dyDescent="0.2">
      <c r="A77" s="13"/>
      <c r="B77" s="13">
        <f>B72+B74</f>
        <v>144</v>
      </c>
      <c r="C77" s="20" t="s">
        <v>17</v>
      </c>
      <c r="D77" s="21">
        <f t="shared" ref="D77:M77" si="39">D72+D74+D76</f>
        <v>3295.8599999999997</v>
      </c>
      <c r="E77" s="21">
        <f t="shared" si="39"/>
        <v>3405.26</v>
      </c>
      <c r="F77" s="21">
        <f t="shared" si="39"/>
        <v>3516.1000000000004</v>
      </c>
      <c r="G77" s="21">
        <f t="shared" si="39"/>
        <v>3625.12</v>
      </c>
      <c r="H77" s="21">
        <f t="shared" si="39"/>
        <v>3734.52</v>
      </c>
      <c r="I77" s="21">
        <f t="shared" si="39"/>
        <v>3845.3599999999997</v>
      </c>
      <c r="J77" s="21">
        <f t="shared" si="39"/>
        <v>3954.38</v>
      </c>
      <c r="K77" s="21">
        <f t="shared" si="39"/>
        <v>4065.2200000000003</v>
      </c>
      <c r="L77" s="21">
        <f t="shared" si="39"/>
        <v>4174.62</v>
      </c>
      <c r="M77" s="21">
        <f t="shared" si="39"/>
        <v>4283.6400000000003</v>
      </c>
    </row>
    <row r="78" spans="1:13" x14ac:dyDescent="0.2">
      <c r="A78" s="13"/>
      <c r="B78" s="13"/>
      <c r="C78" s="20" t="s">
        <v>33</v>
      </c>
      <c r="D78" s="21">
        <f>D77*'Start Page'!$C$65</f>
        <v>85692.359999999986</v>
      </c>
      <c r="E78" s="21">
        <f>E77*'Start Page'!$C$65</f>
        <v>88536.760000000009</v>
      </c>
      <c r="F78" s="21">
        <f>F77*'Start Page'!$C$65</f>
        <v>91418.6</v>
      </c>
      <c r="G78" s="21">
        <f>G77*'Start Page'!$C$65</f>
        <v>94253.119999999995</v>
      </c>
      <c r="H78" s="21">
        <f>H77*'Start Page'!$C$65</f>
        <v>97097.52</v>
      </c>
      <c r="I78" s="21">
        <f>I77*'Start Page'!$C$65</f>
        <v>99979.359999999986</v>
      </c>
      <c r="J78" s="21">
        <f>J77*'Start Page'!$C$65</f>
        <v>102813.88</v>
      </c>
      <c r="K78" s="21">
        <f>K77*'Start Page'!$C$65</f>
        <v>105695.72</v>
      </c>
      <c r="L78" s="21">
        <f>L77*'Start Page'!$C$65</f>
        <v>108540.12</v>
      </c>
      <c r="M78" s="21">
        <f>M77*'Start Page'!$C$65</f>
        <v>111374.64000000001</v>
      </c>
    </row>
    <row r="79" spans="1:13" s="25" customFormat="1" x14ac:dyDescent="0.2">
      <c r="A79" s="22"/>
      <c r="B79" s="22"/>
      <c r="C79" s="23" t="s">
        <v>71</v>
      </c>
      <c r="D79" s="24">
        <f>D73*$B$13*'Start Page'!$C$65</f>
        <v>75703.679999999993</v>
      </c>
      <c r="E79" s="24">
        <f>E73*$B$13*'Start Page'!$C$65</f>
        <v>78212.160000000003</v>
      </c>
      <c r="F79" s="24">
        <f>F73*$B$13*'Start Page'!$C$65</f>
        <v>80758.080000000002</v>
      </c>
      <c r="G79" s="24">
        <f>G73*$B$13*'Start Page'!$C$65</f>
        <v>83266.559999999998</v>
      </c>
      <c r="H79" s="24">
        <f>H73*$B$13*'Start Page'!$C$65</f>
        <v>85775.039999999994</v>
      </c>
      <c r="I79" s="24">
        <f>I73*$B$13*'Start Page'!$C$65</f>
        <v>88320.960000000006</v>
      </c>
      <c r="J79" s="24">
        <f>J73*$B$13*'Start Page'!$C$65</f>
        <v>90829.440000000002</v>
      </c>
      <c r="K79" s="24">
        <f>K73*$B$13*'Start Page'!$C$65</f>
        <v>93375.360000000001</v>
      </c>
      <c r="L79" s="24">
        <f>L73*$B$13*'Start Page'!$C$65</f>
        <v>95883.839999999997</v>
      </c>
      <c r="M79" s="120">
        <f>M73*$B$13*'Start Page'!$C$65</f>
        <v>98392.320000000007</v>
      </c>
    </row>
    <row r="80" spans="1:13" x14ac:dyDescent="0.2">
      <c r="A80" s="13"/>
      <c r="B80" s="13"/>
      <c r="C80" s="14" t="s">
        <v>30</v>
      </c>
      <c r="D80" s="15">
        <f>'GS Pay Scale'!B17</f>
        <v>61218</v>
      </c>
      <c r="E80" s="15">
        <f>'GS Pay Scale'!C17</f>
        <v>63259</v>
      </c>
      <c r="F80" s="15">
        <f>'GS Pay Scale'!D17</f>
        <v>65299</v>
      </c>
      <c r="G80" s="15">
        <f>'GS Pay Scale'!E17</f>
        <v>67340</v>
      </c>
      <c r="H80" s="15">
        <f>'GS Pay Scale'!F17</f>
        <v>69381</v>
      </c>
      <c r="I80" s="15">
        <f>'GS Pay Scale'!G17</f>
        <v>71422</v>
      </c>
      <c r="J80" s="15">
        <f>'GS Pay Scale'!H17</f>
        <v>73463</v>
      </c>
      <c r="K80" s="15">
        <f>'GS Pay Scale'!I17</f>
        <v>75504</v>
      </c>
      <c r="L80" s="15">
        <f>'GS Pay Scale'!J17</f>
        <v>77545</v>
      </c>
      <c r="M80" s="15">
        <f>'GS Pay Scale'!K17</f>
        <v>79586</v>
      </c>
    </row>
    <row r="81" spans="1:13" x14ac:dyDescent="0.2">
      <c r="A81" s="13"/>
      <c r="B81" s="13">
        <v>106</v>
      </c>
      <c r="C81" s="16" t="s">
        <v>41</v>
      </c>
      <c r="D81" s="17">
        <f t="shared" ref="D81:M81" si="40">D82*106</f>
        <v>2354.2600000000002</v>
      </c>
      <c r="E81" s="17">
        <f t="shared" si="40"/>
        <v>2432.6999999999998</v>
      </c>
      <c r="F81" s="17">
        <f t="shared" si="40"/>
        <v>2511.1400000000003</v>
      </c>
      <c r="G81" s="17">
        <f t="shared" si="40"/>
        <v>2589.58</v>
      </c>
      <c r="H81" s="17">
        <f t="shared" si="40"/>
        <v>2668.02</v>
      </c>
      <c r="I81" s="17">
        <f t="shared" si="40"/>
        <v>2747.52</v>
      </c>
      <c r="J81" s="17">
        <f t="shared" si="40"/>
        <v>2825.96</v>
      </c>
      <c r="K81" s="17">
        <f t="shared" si="40"/>
        <v>2904.3999999999996</v>
      </c>
      <c r="L81" s="17">
        <f t="shared" si="40"/>
        <v>2982.84</v>
      </c>
      <c r="M81" s="17">
        <f t="shared" si="40"/>
        <v>3061.2799999999997</v>
      </c>
    </row>
    <row r="82" spans="1:13" x14ac:dyDescent="0.2">
      <c r="A82" s="13"/>
      <c r="B82" s="13"/>
      <c r="C82" s="16" t="s">
        <v>13</v>
      </c>
      <c r="D82" s="17">
        <f t="shared" ref="D82:M82" si="41">ROUND(D80/2756,2)</f>
        <v>22.21</v>
      </c>
      <c r="E82" s="17">
        <f t="shared" si="41"/>
        <v>22.95</v>
      </c>
      <c r="F82" s="17">
        <f t="shared" si="41"/>
        <v>23.69</v>
      </c>
      <c r="G82" s="17">
        <f t="shared" si="41"/>
        <v>24.43</v>
      </c>
      <c r="H82" s="17">
        <f t="shared" si="41"/>
        <v>25.17</v>
      </c>
      <c r="I82" s="17">
        <f t="shared" si="41"/>
        <v>25.92</v>
      </c>
      <c r="J82" s="17">
        <f t="shared" si="41"/>
        <v>26.66</v>
      </c>
      <c r="K82" s="17">
        <f t="shared" si="41"/>
        <v>27.4</v>
      </c>
      <c r="L82" s="17">
        <f t="shared" si="41"/>
        <v>28.14</v>
      </c>
      <c r="M82" s="17">
        <f t="shared" si="41"/>
        <v>28.88</v>
      </c>
    </row>
    <row r="83" spans="1:13" x14ac:dyDescent="0.2">
      <c r="A83" s="18"/>
      <c r="B83" s="19">
        <f>($G$3-53)*2</f>
        <v>38</v>
      </c>
      <c r="C83" s="16" t="s">
        <v>42</v>
      </c>
      <c r="D83" s="17">
        <f t="shared" ref="D83:M83" si="42">D84*$B$10</f>
        <v>1266.1600000000001</v>
      </c>
      <c r="E83" s="17">
        <f t="shared" si="42"/>
        <v>1308.3399999999999</v>
      </c>
      <c r="F83" s="17">
        <f t="shared" si="42"/>
        <v>1350.52</v>
      </c>
      <c r="G83" s="17">
        <f t="shared" si="42"/>
        <v>1392.7</v>
      </c>
      <c r="H83" s="17">
        <f t="shared" si="42"/>
        <v>1434.8799999999999</v>
      </c>
      <c r="I83" s="17">
        <f t="shared" si="42"/>
        <v>1477.44</v>
      </c>
      <c r="J83" s="17">
        <f t="shared" si="42"/>
        <v>1519.6200000000001</v>
      </c>
      <c r="K83" s="17">
        <f t="shared" si="42"/>
        <v>1521.8999999999999</v>
      </c>
      <c r="L83" s="17">
        <f t="shared" si="42"/>
        <v>1521.8999999999999</v>
      </c>
      <c r="M83" s="17">
        <f t="shared" si="42"/>
        <v>1521.8999999999999</v>
      </c>
    </row>
    <row r="84" spans="1:13" x14ac:dyDescent="0.2">
      <c r="A84" s="13" t="s">
        <v>16</v>
      </c>
      <c r="B84" s="13"/>
      <c r="C84" s="16" t="s">
        <v>14</v>
      </c>
      <c r="D84" s="17">
        <f t="shared" ref="D84:M84" si="43">IF(ROUND(D82*1.5,2)&lt;$G$122,ROUND(D82*1.5,2),IF($G$122&lt;D82,D82,$G$122))</f>
        <v>33.32</v>
      </c>
      <c r="E84" s="17">
        <f t="shared" si="43"/>
        <v>34.43</v>
      </c>
      <c r="F84" s="17">
        <f t="shared" si="43"/>
        <v>35.54</v>
      </c>
      <c r="G84" s="17">
        <f t="shared" si="43"/>
        <v>36.65</v>
      </c>
      <c r="H84" s="17">
        <f t="shared" si="43"/>
        <v>37.76</v>
      </c>
      <c r="I84" s="17">
        <f t="shared" si="43"/>
        <v>38.880000000000003</v>
      </c>
      <c r="J84" s="17">
        <f t="shared" si="43"/>
        <v>39.99</v>
      </c>
      <c r="K84" s="17">
        <f t="shared" si="43"/>
        <v>40.049999999999997</v>
      </c>
      <c r="L84" s="17">
        <f t="shared" si="43"/>
        <v>40.049999999999997</v>
      </c>
      <c r="M84" s="17">
        <f t="shared" si="43"/>
        <v>40.049999999999997</v>
      </c>
    </row>
    <row r="85" spans="1:13" s="62" customFormat="1" x14ac:dyDescent="0.2">
      <c r="A85" s="61"/>
      <c r="B85" s="61"/>
      <c r="C85" s="32" t="s">
        <v>46</v>
      </c>
      <c r="D85" s="17">
        <f>ROUND(D82*'Start Page'!$F$48,2)*$B$13</f>
        <v>0</v>
      </c>
      <c r="E85" s="17">
        <f>ROUND(E82*'Start Page'!$F$48,2)*$B$13</f>
        <v>0</v>
      </c>
      <c r="F85" s="17">
        <f>ROUND(F82*'Start Page'!$F$48,2)*$B$13</f>
        <v>0</v>
      </c>
      <c r="G85" s="17">
        <f>ROUND(G82*'Start Page'!$F$48,2)*$B$13</f>
        <v>0</v>
      </c>
      <c r="H85" s="17">
        <f>ROUND(H82*'Start Page'!$F$48,2)*$B$13</f>
        <v>0</v>
      </c>
      <c r="I85" s="17">
        <f>ROUND(I82*'Start Page'!$F$48,2)*$B$13</f>
        <v>0</v>
      </c>
      <c r="J85" s="17">
        <f>ROUND(J82*'Start Page'!$F$48,2)*$B$13</f>
        <v>0</v>
      </c>
      <c r="K85" s="17">
        <f>ROUND(K82*'Start Page'!$F$48,2)*$B$13</f>
        <v>0</v>
      </c>
      <c r="L85" s="17">
        <f>ROUND(L82*'Start Page'!$F$48,2)*$B$13</f>
        <v>0</v>
      </c>
      <c r="M85" s="17">
        <f>ROUND(M82*'Start Page'!$F$48,2)*$B$13</f>
        <v>0</v>
      </c>
    </row>
    <row r="86" spans="1:13" x14ac:dyDescent="0.2">
      <c r="A86" s="13"/>
      <c r="B86" s="13">
        <f>B81+B83</f>
        <v>144</v>
      </c>
      <c r="C86" s="20" t="s">
        <v>17</v>
      </c>
      <c r="D86" s="21">
        <f t="shared" ref="D86:M86" si="44">D81+D83+D85</f>
        <v>3620.42</v>
      </c>
      <c r="E86" s="21">
        <f t="shared" si="44"/>
        <v>3741.04</v>
      </c>
      <c r="F86" s="21">
        <f t="shared" si="44"/>
        <v>3861.6600000000003</v>
      </c>
      <c r="G86" s="21">
        <f t="shared" si="44"/>
        <v>3982.2799999999997</v>
      </c>
      <c r="H86" s="21">
        <f t="shared" si="44"/>
        <v>4102.8999999999996</v>
      </c>
      <c r="I86" s="21">
        <f t="shared" si="44"/>
        <v>4224.96</v>
      </c>
      <c r="J86" s="21">
        <f t="shared" si="44"/>
        <v>4345.58</v>
      </c>
      <c r="K86" s="21">
        <f t="shared" si="44"/>
        <v>4426.2999999999993</v>
      </c>
      <c r="L86" s="21">
        <f t="shared" si="44"/>
        <v>4504.74</v>
      </c>
      <c r="M86" s="21">
        <f t="shared" si="44"/>
        <v>4583.1799999999994</v>
      </c>
    </row>
    <row r="87" spans="1:13" x14ac:dyDescent="0.2">
      <c r="A87" s="13"/>
      <c r="B87" s="13"/>
      <c r="C87" s="20" t="s">
        <v>33</v>
      </c>
      <c r="D87" s="21">
        <f>D86*'Start Page'!$C$65</f>
        <v>94130.92</v>
      </c>
      <c r="E87" s="21">
        <f>E86*'Start Page'!$C$65</f>
        <v>97267.04</v>
      </c>
      <c r="F87" s="21">
        <f>F86*'Start Page'!$C$65</f>
        <v>100403.16</v>
      </c>
      <c r="G87" s="21">
        <f>G86*'Start Page'!$C$65</f>
        <v>103539.28</v>
      </c>
      <c r="H87" s="21">
        <f>H86*'Start Page'!$C$65</f>
        <v>106675.4</v>
      </c>
      <c r="I87" s="21">
        <f>I86*'Start Page'!$C$65</f>
        <v>109848.96000000001</v>
      </c>
      <c r="J87" s="21">
        <f>J86*'Start Page'!$C$65</f>
        <v>112985.08</v>
      </c>
      <c r="K87" s="21">
        <f>K86*'Start Page'!$C$65</f>
        <v>115083.79999999999</v>
      </c>
      <c r="L87" s="21">
        <f>L86*'Start Page'!$C$65</f>
        <v>117123.23999999999</v>
      </c>
      <c r="M87" s="21">
        <f>M86*'Start Page'!$C$65</f>
        <v>119162.67999999998</v>
      </c>
    </row>
    <row r="88" spans="1:13" s="25" customFormat="1" x14ac:dyDescent="0.2">
      <c r="A88" s="22"/>
      <c r="B88" s="22"/>
      <c r="C88" s="23" t="s">
        <v>71</v>
      </c>
      <c r="D88" s="24">
        <f>D82*$B$13*'Start Page'!$C$65</f>
        <v>83154.240000000005</v>
      </c>
      <c r="E88" s="24">
        <f>E82*$B$13*'Start Page'!$C$65</f>
        <v>85924.799999999988</v>
      </c>
      <c r="F88" s="24">
        <f>F82*$B$13*'Start Page'!$C$65</f>
        <v>88695.360000000001</v>
      </c>
      <c r="G88" s="24">
        <f>G82*$B$13*'Start Page'!$C$65</f>
        <v>91465.919999999998</v>
      </c>
      <c r="H88" s="24">
        <f>H82*$B$13*'Start Page'!$C$65</f>
        <v>94236.48000000001</v>
      </c>
      <c r="I88" s="24">
        <f>I82*$B$13*'Start Page'!$C$65</f>
        <v>97044.48000000001</v>
      </c>
      <c r="J88" s="24">
        <f>J82*$B$13*'Start Page'!$C$65</f>
        <v>99815.039999999994</v>
      </c>
      <c r="K88" s="24">
        <f>K82*$B$13*'Start Page'!$C$65</f>
        <v>102585.59999999999</v>
      </c>
      <c r="L88" s="24">
        <f>L82*$B$13*'Start Page'!$C$65</f>
        <v>105356.16</v>
      </c>
      <c r="M88" s="120">
        <f>M82*$B$13*'Start Page'!$C$65</f>
        <v>108126.72</v>
      </c>
    </row>
    <row r="89" spans="1:13" x14ac:dyDescent="0.2">
      <c r="A89" s="13"/>
      <c r="B89" s="13"/>
      <c r="C89" s="14" t="s">
        <v>30</v>
      </c>
      <c r="D89" s="15">
        <f>'GS Pay Scale'!B18</f>
        <v>73375</v>
      </c>
      <c r="E89" s="15">
        <f>'GS Pay Scale'!C18</f>
        <v>75821</v>
      </c>
      <c r="F89" s="15">
        <f>'GS Pay Scale'!D18</f>
        <v>78267</v>
      </c>
      <c r="G89" s="15">
        <f>'GS Pay Scale'!E18</f>
        <v>80713</v>
      </c>
      <c r="H89" s="15">
        <f>'GS Pay Scale'!F18</f>
        <v>83159</v>
      </c>
      <c r="I89" s="15">
        <f>'GS Pay Scale'!G18</f>
        <v>85605</v>
      </c>
      <c r="J89" s="15">
        <f>'GS Pay Scale'!H18</f>
        <v>88050</v>
      </c>
      <c r="K89" s="15">
        <f>'GS Pay Scale'!I18</f>
        <v>90496</v>
      </c>
      <c r="L89" s="15">
        <f>'GS Pay Scale'!J18</f>
        <v>92942</v>
      </c>
      <c r="M89" s="15">
        <f>'GS Pay Scale'!K18</f>
        <v>95388</v>
      </c>
    </row>
    <row r="90" spans="1:13" x14ac:dyDescent="0.2">
      <c r="A90" s="13"/>
      <c r="B90" s="13">
        <v>106</v>
      </c>
      <c r="C90" s="16" t="s">
        <v>41</v>
      </c>
      <c r="D90" s="17">
        <f t="shared" ref="D90:M90" si="45">D91*106</f>
        <v>2821.7200000000003</v>
      </c>
      <c r="E90" s="17">
        <f t="shared" si="45"/>
        <v>2916.06</v>
      </c>
      <c r="F90" s="17">
        <f t="shared" si="45"/>
        <v>3010.3999999999996</v>
      </c>
      <c r="G90" s="17">
        <f t="shared" si="45"/>
        <v>3104.74</v>
      </c>
      <c r="H90" s="17">
        <f t="shared" si="45"/>
        <v>3198.02</v>
      </c>
      <c r="I90" s="17">
        <f t="shared" si="45"/>
        <v>3292.3599999999997</v>
      </c>
      <c r="J90" s="17">
        <f t="shared" si="45"/>
        <v>3386.7</v>
      </c>
      <c r="K90" s="17">
        <f t="shared" si="45"/>
        <v>3481.0400000000004</v>
      </c>
      <c r="L90" s="17">
        <f t="shared" si="45"/>
        <v>3574.3199999999997</v>
      </c>
      <c r="M90" s="17">
        <f t="shared" si="45"/>
        <v>3668.66</v>
      </c>
    </row>
    <row r="91" spans="1:13" x14ac:dyDescent="0.2">
      <c r="A91" s="13"/>
      <c r="B91" s="13"/>
      <c r="C91" s="16" t="s">
        <v>13</v>
      </c>
      <c r="D91" s="17">
        <f t="shared" ref="D91:M91" si="46">ROUND(D89/2756,2)</f>
        <v>26.62</v>
      </c>
      <c r="E91" s="17">
        <f t="shared" si="46"/>
        <v>27.51</v>
      </c>
      <c r="F91" s="17">
        <f t="shared" si="46"/>
        <v>28.4</v>
      </c>
      <c r="G91" s="17">
        <f t="shared" si="46"/>
        <v>29.29</v>
      </c>
      <c r="H91" s="17">
        <f t="shared" si="46"/>
        <v>30.17</v>
      </c>
      <c r="I91" s="17">
        <f t="shared" si="46"/>
        <v>31.06</v>
      </c>
      <c r="J91" s="17">
        <f t="shared" si="46"/>
        <v>31.95</v>
      </c>
      <c r="K91" s="17">
        <f t="shared" si="46"/>
        <v>32.840000000000003</v>
      </c>
      <c r="L91" s="17">
        <f t="shared" si="46"/>
        <v>33.72</v>
      </c>
      <c r="M91" s="17">
        <f t="shared" si="46"/>
        <v>34.61</v>
      </c>
    </row>
    <row r="92" spans="1:13" x14ac:dyDescent="0.2">
      <c r="A92" s="18"/>
      <c r="B92" s="19">
        <f>($G$3-53)*2</f>
        <v>38</v>
      </c>
      <c r="C92" s="16" t="s">
        <v>42</v>
      </c>
      <c r="D92" s="17">
        <f t="shared" ref="D92:M92" si="47">D93*$B$10</f>
        <v>1517.34</v>
      </c>
      <c r="E92" s="17">
        <f t="shared" si="47"/>
        <v>1521.8999999999999</v>
      </c>
      <c r="F92" s="17">
        <f t="shared" si="47"/>
        <v>1521.8999999999999</v>
      </c>
      <c r="G92" s="17">
        <f t="shared" si="47"/>
        <v>1521.8999999999999</v>
      </c>
      <c r="H92" s="17">
        <f t="shared" si="47"/>
        <v>1521.8999999999999</v>
      </c>
      <c r="I92" s="17">
        <f t="shared" si="47"/>
        <v>1521.8999999999999</v>
      </c>
      <c r="J92" s="17">
        <f t="shared" si="47"/>
        <v>1521.8999999999999</v>
      </c>
      <c r="K92" s="17">
        <f t="shared" si="47"/>
        <v>1521.8999999999999</v>
      </c>
      <c r="L92" s="17">
        <f t="shared" si="47"/>
        <v>1521.8999999999999</v>
      </c>
      <c r="M92" s="17">
        <f t="shared" si="47"/>
        <v>1521.8999999999999</v>
      </c>
    </row>
    <row r="93" spans="1:13" x14ac:dyDescent="0.2">
      <c r="A93" s="13" t="s">
        <v>26</v>
      </c>
      <c r="B93" s="13"/>
      <c r="C93" s="16" t="s">
        <v>14</v>
      </c>
      <c r="D93" s="17">
        <f t="shared" ref="D93:M93" si="48">IF(ROUND(D91*1.5,2)&lt;$G$122,ROUND(D91*1.5,2),IF($G$122&lt;D91,D91,$G$122))</f>
        <v>39.93</v>
      </c>
      <c r="E93" s="17">
        <f t="shared" si="48"/>
        <v>40.049999999999997</v>
      </c>
      <c r="F93" s="17">
        <f t="shared" si="48"/>
        <v>40.049999999999997</v>
      </c>
      <c r="G93" s="17">
        <f t="shared" si="48"/>
        <v>40.049999999999997</v>
      </c>
      <c r="H93" s="17">
        <f t="shared" si="48"/>
        <v>40.049999999999997</v>
      </c>
      <c r="I93" s="17">
        <f t="shared" si="48"/>
        <v>40.049999999999997</v>
      </c>
      <c r="J93" s="17">
        <f t="shared" si="48"/>
        <v>40.049999999999997</v>
      </c>
      <c r="K93" s="17">
        <f t="shared" si="48"/>
        <v>40.049999999999997</v>
      </c>
      <c r="L93" s="17">
        <f t="shared" si="48"/>
        <v>40.049999999999997</v>
      </c>
      <c r="M93" s="17">
        <f t="shared" si="48"/>
        <v>40.049999999999997</v>
      </c>
    </row>
    <row r="94" spans="1:13" s="62" customFormat="1" x14ac:dyDescent="0.2">
      <c r="A94" s="61"/>
      <c r="B94" s="61"/>
      <c r="C94" s="32" t="s">
        <v>46</v>
      </c>
      <c r="D94" s="17">
        <f>ROUND(D91*'Start Page'!$F$48,2)*$B$13</f>
        <v>0</v>
      </c>
      <c r="E94" s="17">
        <f>ROUND(E91*'Start Page'!$F$48,2)*$B$13</f>
        <v>0</v>
      </c>
      <c r="F94" s="17">
        <f>ROUND(F91*'Start Page'!$F$48,2)*$B$13</f>
        <v>0</v>
      </c>
      <c r="G94" s="17">
        <f>ROUND(G91*'Start Page'!$F$48,2)*$B$13</f>
        <v>0</v>
      </c>
      <c r="H94" s="17">
        <f>ROUND(H91*'Start Page'!$F$48,2)*$B$13</f>
        <v>0</v>
      </c>
      <c r="I94" s="17">
        <f>ROUND(I91*'Start Page'!$F$48,2)*$B$13</f>
        <v>0</v>
      </c>
      <c r="J94" s="17">
        <f>ROUND(J91*'Start Page'!$F$48,2)*$B$13</f>
        <v>0</v>
      </c>
      <c r="K94" s="17">
        <f>ROUND(K91*'Start Page'!$F$48,2)*$B$13</f>
        <v>0</v>
      </c>
      <c r="L94" s="17">
        <f>ROUND(L91*'Start Page'!$F$48,2)*$B$13</f>
        <v>0</v>
      </c>
      <c r="M94" s="17">
        <f>ROUND(M91*'Start Page'!$F$48,2)*$B$13</f>
        <v>0</v>
      </c>
    </row>
    <row r="95" spans="1:13" x14ac:dyDescent="0.2">
      <c r="A95" s="13"/>
      <c r="B95" s="13">
        <f>B90+B92</f>
        <v>144</v>
      </c>
      <c r="C95" s="20" t="s">
        <v>17</v>
      </c>
      <c r="D95" s="21">
        <f t="shared" ref="D95:M95" si="49">D90+D92+D94</f>
        <v>4339.0600000000004</v>
      </c>
      <c r="E95" s="21">
        <f t="shared" si="49"/>
        <v>4437.96</v>
      </c>
      <c r="F95" s="21">
        <f t="shared" si="49"/>
        <v>4532.2999999999993</v>
      </c>
      <c r="G95" s="21">
        <f t="shared" si="49"/>
        <v>4626.6399999999994</v>
      </c>
      <c r="H95" s="21">
        <f t="shared" si="49"/>
        <v>4719.92</v>
      </c>
      <c r="I95" s="21">
        <f t="shared" si="49"/>
        <v>4814.2599999999993</v>
      </c>
      <c r="J95" s="21">
        <f t="shared" si="49"/>
        <v>4908.5999999999995</v>
      </c>
      <c r="K95" s="21">
        <f t="shared" si="49"/>
        <v>5002.9400000000005</v>
      </c>
      <c r="L95" s="21">
        <f t="shared" si="49"/>
        <v>5096.2199999999993</v>
      </c>
      <c r="M95" s="21">
        <f t="shared" si="49"/>
        <v>5190.5599999999995</v>
      </c>
    </row>
    <row r="96" spans="1:13" x14ac:dyDescent="0.2">
      <c r="A96" s="13"/>
      <c r="B96" s="13"/>
      <c r="C96" s="20" t="s">
        <v>33</v>
      </c>
      <c r="D96" s="21">
        <f>D95*'Start Page'!$C$65</f>
        <v>112815.56000000001</v>
      </c>
      <c r="E96" s="21">
        <f>E95*'Start Page'!$C$65</f>
        <v>115386.96</v>
      </c>
      <c r="F96" s="21">
        <f>F95*'Start Page'!$C$65</f>
        <v>117839.79999999999</v>
      </c>
      <c r="G96" s="21">
        <f>G95*'Start Page'!$C$65</f>
        <v>120292.63999999998</v>
      </c>
      <c r="H96" s="21">
        <f>H95*'Start Page'!$C$65</f>
        <v>122717.92</v>
      </c>
      <c r="I96" s="21">
        <f>I95*'Start Page'!$C$65</f>
        <v>125170.75999999998</v>
      </c>
      <c r="J96" s="21">
        <f>J95*'Start Page'!$C$65</f>
        <v>127623.59999999999</v>
      </c>
      <c r="K96" s="21">
        <f>K95*'Start Page'!$C$65</f>
        <v>130076.44000000002</v>
      </c>
      <c r="L96" s="21">
        <f>L95*'Start Page'!$C$65</f>
        <v>132501.71999999997</v>
      </c>
      <c r="M96" s="21">
        <f>M95*'Start Page'!$C$65</f>
        <v>134954.56</v>
      </c>
    </row>
    <row r="97" spans="1:13" s="25" customFormat="1" x14ac:dyDescent="0.2">
      <c r="A97" s="22"/>
      <c r="B97" s="22"/>
      <c r="C97" s="23" t="s">
        <v>71</v>
      </c>
      <c r="D97" s="24">
        <f>D91*$B$13*'Start Page'!$C$65</f>
        <v>99665.279999999999</v>
      </c>
      <c r="E97" s="24">
        <f>E91*$B$13*'Start Page'!$C$65</f>
        <v>102997.44</v>
      </c>
      <c r="F97" s="24">
        <f>F91*$B$13*'Start Page'!$C$65</f>
        <v>106329.59999999999</v>
      </c>
      <c r="G97" s="24">
        <f>G91*$B$13*'Start Page'!$C$65</f>
        <v>109661.76000000001</v>
      </c>
      <c r="H97" s="24">
        <f>H91*$B$13*'Start Page'!$C$65</f>
        <v>112956.48000000001</v>
      </c>
      <c r="I97" s="24">
        <f>I91*$B$13*'Start Page'!$C$65</f>
        <v>116288.63999999998</v>
      </c>
      <c r="J97" s="24">
        <f>J91*$B$13*'Start Page'!$C$65</f>
        <v>119620.8</v>
      </c>
      <c r="K97" s="24">
        <f>K91*$B$13*'Start Page'!$C$65</f>
        <v>122952.96000000002</v>
      </c>
      <c r="L97" s="24">
        <f>L91*$B$13*'Start Page'!$C$65</f>
        <v>126247.68000000001</v>
      </c>
      <c r="M97" s="120">
        <f>M91*$B$13*'Start Page'!$C$65</f>
        <v>129579.84</v>
      </c>
    </row>
    <row r="98" spans="1:13" s="25" customFormat="1" x14ac:dyDescent="0.2">
      <c r="A98" s="13"/>
      <c r="B98" s="13"/>
      <c r="C98" s="14" t="s">
        <v>30</v>
      </c>
      <c r="D98" s="15">
        <f>'GS Pay Scale'!B19</f>
        <v>87252</v>
      </c>
      <c r="E98" s="15">
        <f>'GS Pay Scale'!C19</f>
        <v>90161</v>
      </c>
      <c r="F98" s="15">
        <f>'GS Pay Scale'!D19</f>
        <v>93069</v>
      </c>
      <c r="G98" s="15">
        <f>'GS Pay Scale'!E19</f>
        <v>95977</v>
      </c>
      <c r="H98" s="15">
        <f>'GS Pay Scale'!F19</f>
        <v>98886</v>
      </c>
      <c r="I98" s="15">
        <f>'GS Pay Scale'!G19</f>
        <v>101794</v>
      </c>
      <c r="J98" s="15">
        <f>'GS Pay Scale'!H19</f>
        <v>104703</v>
      </c>
      <c r="K98" s="15">
        <f>'GS Pay Scale'!I19</f>
        <v>107611</v>
      </c>
      <c r="L98" s="15">
        <f>'GS Pay Scale'!J19</f>
        <v>110520</v>
      </c>
      <c r="M98" s="15">
        <f>'GS Pay Scale'!K19</f>
        <v>113428</v>
      </c>
    </row>
    <row r="99" spans="1:13" s="25" customFormat="1" x14ac:dyDescent="0.2">
      <c r="A99" s="13"/>
      <c r="B99" s="13">
        <v>106</v>
      </c>
      <c r="C99" s="16" t="s">
        <v>41</v>
      </c>
      <c r="D99" s="17">
        <f t="shared" ref="D99:M99" si="50">D100*106</f>
        <v>3355.96</v>
      </c>
      <c r="E99" s="17">
        <f t="shared" si="50"/>
        <v>3467.26</v>
      </c>
      <c r="F99" s="17">
        <f t="shared" si="50"/>
        <v>3579.6200000000003</v>
      </c>
      <c r="G99" s="17">
        <f t="shared" si="50"/>
        <v>3690.92</v>
      </c>
      <c r="H99" s="17">
        <f t="shared" si="50"/>
        <v>3803.28</v>
      </c>
      <c r="I99" s="17">
        <f t="shared" si="50"/>
        <v>3915.64</v>
      </c>
      <c r="J99" s="17">
        <f t="shared" si="50"/>
        <v>4026.94</v>
      </c>
      <c r="K99" s="17">
        <f t="shared" si="50"/>
        <v>4139.2999999999993</v>
      </c>
      <c r="L99" s="17">
        <f t="shared" si="50"/>
        <v>4250.6000000000004</v>
      </c>
      <c r="M99" s="17">
        <f t="shared" si="50"/>
        <v>4362.96</v>
      </c>
    </row>
    <row r="100" spans="1:13" s="25" customFormat="1" x14ac:dyDescent="0.2">
      <c r="A100" s="13"/>
      <c r="B100" s="13"/>
      <c r="C100" s="16" t="s">
        <v>13</v>
      </c>
      <c r="D100" s="17">
        <f t="shared" ref="D100:M100" si="51">ROUND(D98/2756,2)</f>
        <v>31.66</v>
      </c>
      <c r="E100" s="17">
        <f t="shared" si="51"/>
        <v>32.71</v>
      </c>
      <c r="F100" s="17">
        <f t="shared" si="51"/>
        <v>33.770000000000003</v>
      </c>
      <c r="G100" s="17">
        <f t="shared" si="51"/>
        <v>34.82</v>
      </c>
      <c r="H100" s="17">
        <f t="shared" si="51"/>
        <v>35.880000000000003</v>
      </c>
      <c r="I100" s="17">
        <f t="shared" si="51"/>
        <v>36.94</v>
      </c>
      <c r="J100" s="17">
        <f t="shared" si="51"/>
        <v>37.99</v>
      </c>
      <c r="K100" s="17">
        <f t="shared" si="51"/>
        <v>39.049999999999997</v>
      </c>
      <c r="L100" s="17">
        <f t="shared" si="51"/>
        <v>40.1</v>
      </c>
      <c r="M100" s="17">
        <f t="shared" si="51"/>
        <v>41.16</v>
      </c>
    </row>
    <row r="101" spans="1:13" s="25" customFormat="1" x14ac:dyDescent="0.2">
      <c r="A101" s="18"/>
      <c r="B101" s="19">
        <f>($G$3-53)*2</f>
        <v>38</v>
      </c>
      <c r="C101" s="16" t="s">
        <v>42</v>
      </c>
      <c r="D101" s="17">
        <f t="shared" ref="D101:M101" si="52">D102*$B$10</f>
        <v>1521.8999999999999</v>
      </c>
      <c r="E101" s="17">
        <f t="shared" si="52"/>
        <v>1521.8999999999999</v>
      </c>
      <c r="F101" s="17">
        <f t="shared" si="52"/>
        <v>1521.8999999999999</v>
      </c>
      <c r="G101" s="17">
        <f t="shared" si="52"/>
        <v>1521.8999999999999</v>
      </c>
      <c r="H101" s="17">
        <f t="shared" si="52"/>
        <v>1521.8999999999999</v>
      </c>
      <c r="I101" s="17">
        <f t="shared" si="52"/>
        <v>1521.8999999999999</v>
      </c>
      <c r="J101" s="17">
        <f t="shared" si="52"/>
        <v>1521.8999999999999</v>
      </c>
      <c r="K101" s="17">
        <f t="shared" si="52"/>
        <v>1521.8999999999999</v>
      </c>
      <c r="L101" s="17">
        <f t="shared" si="52"/>
        <v>1523.8</v>
      </c>
      <c r="M101" s="17">
        <f t="shared" si="52"/>
        <v>1564.08</v>
      </c>
    </row>
    <row r="102" spans="1:13" s="25" customFormat="1" x14ac:dyDescent="0.2">
      <c r="A102" s="13" t="s">
        <v>31</v>
      </c>
      <c r="B102" s="13"/>
      <c r="C102" s="16" t="s">
        <v>14</v>
      </c>
      <c r="D102" s="17">
        <f t="shared" ref="D102:M102" si="53">IF(ROUND(D100*1.5,2)&lt;$G$122,ROUND(D100*1.5,2),IF($G$122&lt;D100,D100,$G$122))</f>
        <v>40.049999999999997</v>
      </c>
      <c r="E102" s="17">
        <f t="shared" si="53"/>
        <v>40.049999999999997</v>
      </c>
      <c r="F102" s="17">
        <f t="shared" si="53"/>
        <v>40.049999999999997</v>
      </c>
      <c r="G102" s="17">
        <f t="shared" si="53"/>
        <v>40.049999999999997</v>
      </c>
      <c r="H102" s="17">
        <f t="shared" si="53"/>
        <v>40.049999999999997</v>
      </c>
      <c r="I102" s="17">
        <f t="shared" si="53"/>
        <v>40.049999999999997</v>
      </c>
      <c r="J102" s="17">
        <f t="shared" si="53"/>
        <v>40.049999999999997</v>
      </c>
      <c r="K102" s="17">
        <f t="shared" si="53"/>
        <v>40.049999999999997</v>
      </c>
      <c r="L102" s="17">
        <f t="shared" si="53"/>
        <v>40.1</v>
      </c>
      <c r="M102" s="17">
        <f t="shared" si="53"/>
        <v>41.16</v>
      </c>
    </row>
    <row r="103" spans="1:13" s="25" customFormat="1" x14ac:dyDescent="0.2">
      <c r="A103" s="61"/>
      <c r="B103" s="61"/>
      <c r="C103" s="32" t="s">
        <v>46</v>
      </c>
      <c r="D103" s="17">
        <f>ROUND(D100*'Start Page'!$F$48,2)*$B$13</f>
        <v>0</v>
      </c>
      <c r="E103" s="17">
        <f>ROUND(E100*'Start Page'!$F$48,2)*$B$13</f>
        <v>0</v>
      </c>
      <c r="F103" s="17">
        <f>ROUND(F100*'Start Page'!$F$48,2)*$B$13</f>
        <v>0</v>
      </c>
      <c r="G103" s="17">
        <f>ROUND(G100*'Start Page'!$F$48,2)*$B$13</f>
        <v>0</v>
      </c>
      <c r="H103" s="17">
        <f>ROUND(H100*'Start Page'!$F$48,2)*$B$13</f>
        <v>0</v>
      </c>
      <c r="I103" s="17">
        <f>ROUND(I100*'Start Page'!$F$48,2)*$B$13</f>
        <v>0</v>
      </c>
      <c r="J103" s="17">
        <f>ROUND(J100*'Start Page'!$F$48,2)*$B$13</f>
        <v>0</v>
      </c>
      <c r="K103" s="17">
        <f>ROUND(K100*'Start Page'!$F$48,2)*$B$13</f>
        <v>0</v>
      </c>
      <c r="L103" s="17">
        <f>ROUND(L100*'Start Page'!$F$48,2)*$B$13</f>
        <v>0</v>
      </c>
      <c r="M103" s="17">
        <f>ROUND(M100*'Start Page'!$F$48,2)*$B$13</f>
        <v>0</v>
      </c>
    </row>
    <row r="104" spans="1:13" s="25" customFormat="1" x14ac:dyDescent="0.2">
      <c r="A104" s="13"/>
      <c r="B104" s="13">
        <f>B99+B101</f>
        <v>144</v>
      </c>
      <c r="C104" s="20" t="s">
        <v>17</v>
      </c>
      <c r="D104" s="21">
        <f t="shared" ref="D104:M104" si="54">D99+D101+D103</f>
        <v>4877.8599999999997</v>
      </c>
      <c r="E104" s="21">
        <f t="shared" si="54"/>
        <v>4989.16</v>
      </c>
      <c r="F104" s="21">
        <f t="shared" si="54"/>
        <v>5101.5200000000004</v>
      </c>
      <c r="G104" s="21">
        <f t="shared" si="54"/>
        <v>5212.82</v>
      </c>
      <c r="H104" s="21">
        <f t="shared" si="54"/>
        <v>5325.18</v>
      </c>
      <c r="I104" s="21">
        <f t="shared" si="54"/>
        <v>5437.54</v>
      </c>
      <c r="J104" s="21">
        <f t="shared" si="54"/>
        <v>5548.84</v>
      </c>
      <c r="K104" s="21">
        <f t="shared" si="54"/>
        <v>5661.1999999999989</v>
      </c>
      <c r="L104" s="21">
        <f t="shared" si="54"/>
        <v>5774.4000000000005</v>
      </c>
      <c r="M104" s="21">
        <f t="shared" si="54"/>
        <v>5927.04</v>
      </c>
    </row>
    <row r="105" spans="1:13" s="25" customFormat="1" x14ac:dyDescent="0.2">
      <c r="A105" s="13"/>
      <c r="B105" s="13"/>
      <c r="C105" s="20" t="s">
        <v>33</v>
      </c>
      <c r="D105" s="21">
        <f>D104*'Start Page'!$C$65</f>
        <v>126824.35999999999</v>
      </c>
      <c r="E105" s="21">
        <f>E104*'Start Page'!$C$65</f>
        <v>129718.16</v>
      </c>
      <c r="F105" s="21">
        <f>F104*'Start Page'!$C$65</f>
        <v>132639.52000000002</v>
      </c>
      <c r="G105" s="21">
        <f>G104*'Start Page'!$C$65</f>
        <v>135533.32</v>
      </c>
      <c r="H105" s="21">
        <f>H104*'Start Page'!$C$65</f>
        <v>138454.68</v>
      </c>
      <c r="I105" s="21">
        <f>I104*'Start Page'!$C$65</f>
        <v>141376.04</v>
      </c>
      <c r="J105" s="21">
        <f>J104*'Start Page'!$C$65</f>
        <v>144269.84</v>
      </c>
      <c r="K105" s="21">
        <f>K104*'Start Page'!$C$65</f>
        <v>147191.19999999998</v>
      </c>
      <c r="L105" s="21">
        <f>L104*'Start Page'!$C$65</f>
        <v>150134.40000000002</v>
      </c>
      <c r="M105" s="21">
        <f>M104*'Start Page'!$C$65</f>
        <v>154103.04000000001</v>
      </c>
    </row>
    <row r="106" spans="1:13" s="25" customFormat="1" x14ac:dyDescent="0.2">
      <c r="A106" s="22"/>
      <c r="B106" s="22"/>
      <c r="C106" s="23" t="s">
        <v>71</v>
      </c>
      <c r="D106" s="24">
        <f>D100*$B$13*'Start Page'!$C$65</f>
        <v>118535.03999999999</v>
      </c>
      <c r="E106" s="24">
        <f>E100*$B$13*'Start Page'!$C$65</f>
        <v>122466.23999999999</v>
      </c>
      <c r="F106" s="24">
        <f>F100*$B$13*'Start Page'!$C$65</f>
        <v>126434.88</v>
      </c>
      <c r="G106" s="24">
        <f>G100*$B$13*'Start Page'!$C$65</f>
        <v>130366.08</v>
      </c>
      <c r="H106" s="24">
        <f>H100*$B$13*'Start Page'!$C$65</f>
        <v>134334.72</v>
      </c>
      <c r="I106" s="24">
        <f>I100*$B$13*'Start Page'!$C$65</f>
        <v>138303.35999999999</v>
      </c>
      <c r="J106" s="24">
        <f>J100*$B$13*'Start Page'!$C$65</f>
        <v>142234.56</v>
      </c>
      <c r="K106" s="24">
        <f>K100*$B$13*'Start Page'!$C$65</f>
        <v>146203.19999999998</v>
      </c>
      <c r="L106" s="24">
        <f>L100*$B$13*'Start Page'!$C$65</f>
        <v>150134.40000000002</v>
      </c>
      <c r="M106" s="120">
        <f>M100*$B$13*'Start Page'!$C$65</f>
        <v>154103.03999999998</v>
      </c>
    </row>
    <row r="107" spans="1:13" x14ac:dyDescent="0.2">
      <c r="A107" s="13"/>
      <c r="B107" s="13"/>
      <c r="C107" s="14" t="s">
        <v>30</v>
      </c>
      <c r="D107" s="15">
        <f>'GS Pay Scale'!B20</f>
        <v>103106</v>
      </c>
      <c r="E107" s="15">
        <f>'GS Pay Scale'!C20</f>
        <v>106543</v>
      </c>
      <c r="F107" s="15">
        <f>'GS Pay Scale'!D20</f>
        <v>109980</v>
      </c>
      <c r="G107" s="15">
        <f>'GS Pay Scale'!E20</f>
        <v>113417</v>
      </c>
      <c r="H107" s="15">
        <f>'GS Pay Scale'!F20</f>
        <v>116854</v>
      </c>
      <c r="I107" s="15">
        <f>'GS Pay Scale'!G20</f>
        <v>120291</v>
      </c>
      <c r="J107" s="15">
        <f>'GS Pay Scale'!H20</f>
        <v>123727</v>
      </c>
      <c r="K107" s="15">
        <f>'GS Pay Scale'!I20</f>
        <v>127164</v>
      </c>
      <c r="L107" s="15">
        <f>'GS Pay Scale'!J20</f>
        <v>130601</v>
      </c>
      <c r="M107" s="15">
        <f>'GS Pay Scale'!K20</f>
        <v>134038</v>
      </c>
    </row>
    <row r="108" spans="1:13" x14ac:dyDescent="0.2">
      <c r="A108" s="13"/>
      <c r="B108" s="13">
        <v>106</v>
      </c>
      <c r="C108" s="16" t="s">
        <v>41</v>
      </c>
      <c r="D108" s="17">
        <f t="shared" ref="D108:M108" si="55">D109*106</f>
        <v>3965.4599999999996</v>
      </c>
      <c r="E108" s="17">
        <f t="shared" si="55"/>
        <v>4097.96</v>
      </c>
      <c r="F108" s="17">
        <f t="shared" si="55"/>
        <v>4230.46</v>
      </c>
      <c r="G108" s="17">
        <f t="shared" si="55"/>
        <v>4361.8999999999996</v>
      </c>
      <c r="H108" s="17">
        <f t="shared" si="55"/>
        <v>4494.3999999999996</v>
      </c>
      <c r="I108" s="17">
        <f t="shared" si="55"/>
        <v>4626.8999999999996</v>
      </c>
      <c r="J108" s="17">
        <f t="shared" si="55"/>
        <v>4758.34</v>
      </c>
      <c r="K108" s="17">
        <f t="shared" si="55"/>
        <v>4890.84</v>
      </c>
      <c r="L108" s="17">
        <f t="shared" si="55"/>
        <v>5023.34</v>
      </c>
      <c r="M108" s="17">
        <f t="shared" si="55"/>
        <v>5154.7800000000007</v>
      </c>
    </row>
    <row r="109" spans="1:13" x14ac:dyDescent="0.2">
      <c r="A109" s="13"/>
      <c r="B109" s="13"/>
      <c r="C109" s="16" t="s">
        <v>13</v>
      </c>
      <c r="D109" s="17">
        <f t="shared" ref="D109:M109" si="56">ROUND(D107/2756,2)</f>
        <v>37.409999999999997</v>
      </c>
      <c r="E109" s="17">
        <f t="shared" si="56"/>
        <v>38.659999999999997</v>
      </c>
      <c r="F109" s="17">
        <f t="shared" si="56"/>
        <v>39.909999999999997</v>
      </c>
      <c r="G109" s="17">
        <f t="shared" si="56"/>
        <v>41.15</v>
      </c>
      <c r="H109" s="17">
        <f t="shared" si="56"/>
        <v>42.4</v>
      </c>
      <c r="I109" s="17">
        <f t="shared" si="56"/>
        <v>43.65</v>
      </c>
      <c r="J109" s="17">
        <f t="shared" si="56"/>
        <v>44.89</v>
      </c>
      <c r="K109" s="17">
        <f t="shared" si="56"/>
        <v>46.14</v>
      </c>
      <c r="L109" s="17">
        <f t="shared" si="56"/>
        <v>47.39</v>
      </c>
      <c r="M109" s="17">
        <f t="shared" si="56"/>
        <v>48.63</v>
      </c>
    </row>
    <row r="110" spans="1:13" x14ac:dyDescent="0.2">
      <c r="A110" s="18"/>
      <c r="B110" s="19">
        <f>($G$3-53)*2</f>
        <v>38</v>
      </c>
      <c r="C110" s="16" t="s">
        <v>42</v>
      </c>
      <c r="D110" s="17">
        <f t="shared" ref="D110:M110" si="57">D111*$B$10</f>
        <v>1521.8999999999999</v>
      </c>
      <c r="E110" s="17">
        <f t="shared" si="57"/>
        <v>1521.8999999999999</v>
      </c>
      <c r="F110" s="17">
        <f t="shared" si="57"/>
        <v>1521.8999999999999</v>
      </c>
      <c r="G110" s="17">
        <f t="shared" si="57"/>
        <v>1563.7</v>
      </c>
      <c r="H110" s="17">
        <f t="shared" si="57"/>
        <v>1611.2</v>
      </c>
      <c r="I110" s="17">
        <f t="shared" si="57"/>
        <v>1658.7</v>
      </c>
      <c r="J110" s="17">
        <f t="shared" si="57"/>
        <v>1705.82</v>
      </c>
      <c r="K110" s="17">
        <f t="shared" si="57"/>
        <v>1753.32</v>
      </c>
      <c r="L110" s="17">
        <f t="shared" si="57"/>
        <v>1800.82</v>
      </c>
      <c r="M110" s="17">
        <f t="shared" si="57"/>
        <v>1847.94</v>
      </c>
    </row>
    <row r="111" spans="1:13" x14ac:dyDescent="0.2">
      <c r="A111" s="13" t="s">
        <v>120</v>
      </c>
      <c r="B111" s="13"/>
      <c r="C111" s="16" t="s">
        <v>14</v>
      </c>
      <c r="D111" s="17">
        <f t="shared" ref="D111:M111" si="58">IF(ROUND(D109*1.5,2)&lt;$G$122,ROUND(D109*1.5,2),IF($G$122&lt;D109,D109,$G$122))</f>
        <v>40.049999999999997</v>
      </c>
      <c r="E111" s="17">
        <f t="shared" si="58"/>
        <v>40.049999999999997</v>
      </c>
      <c r="F111" s="17">
        <f t="shared" si="58"/>
        <v>40.049999999999997</v>
      </c>
      <c r="G111" s="17">
        <f t="shared" si="58"/>
        <v>41.15</v>
      </c>
      <c r="H111" s="17">
        <f t="shared" si="58"/>
        <v>42.4</v>
      </c>
      <c r="I111" s="17">
        <f t="shared" si="58"/>
        <v>43.65</v>
      </c>
      <c r="J111" s="17">
        <f t="shared" si="58"/>
        <v>44.89</v>
      </c>
      <c r="K111" s="17">
        <f t="shared" si="58"/>
        <v>46.14</v>
      </c>
      <c r="L111" s="17">
        <f t="shared" si="58"/>
        <v>47.39</v>
      </c>
      <c r="M111" s="17">
        <f t="shared" si="58"/>
        <v>48.63</v>
      </c>
    </row>
    <row r="112" spans="1:13" s="62" customFormat="1" x14ac:dyDescent="0.2">
      <c r="A112" s="61"/>
      <c r="B112" s="61"/>
      <c r="C112" s="32" t="s">
        <v>46</v>
      </c>
      <c r="D112" s="17">
        <f>ROUND(D109*'Start Page'!$F$48,2)*$B$13</f>
        <v>0</v>
      </c>
      <c r="E112" s="17">
        <f>ROUND(E109*'Start Page'!$F$48,2)*$B$13</f>
        <v>0</v>
      </c>
      <c r="F112" s="17">
        <f>ROUND(F109*'Start Page'!$F$48,2)*$B$13</f>
        <v>0</v>
      </c>
      <c r="G112" s="17">
        <f>ROUND(G109*'Start Page'!$F$48,2)*$B$13</f>
        <v>0</v>
      </c>
      <c r="H112" s="17">
        <f>ROUND(H109*'Start Page'!$F$48,2)*$B$13</f>
        <v>0</v>
      </c>
      <c r="I112" s="17">
        <f>ROUND(I109*'Start Page'!$F$48,2)*$B$13</f>
        <v>0</v>
      </c>
      <c r="J112" s="17">
        <f>ROUND(J109*'Start Page'!$F$48,2)*$B$13</f>
        <v>0</v>
      </c>
      <c r="K112" s="17">
        <f>ROUND(K109*'Start Page'!$F$48,2)*$B$13</f>
        <v>0</v>
      </c>
      <c r="L112" s="17">
        <f>ROUND(L109*'Start Page'!$F$48,2)*$B$13</f>
        <v>0</v>
      </c>
      <c r="M112" s="17">
        <f>ROUND(M109*'Start Page'!$F$48,2)*$B$13</f>
        <v>0</v>
      </c>
    </row>
    <row r="113" spans="1:13" x14ac:dyDescent="0.2">
      <c r="A113" s="13"/>
      <c r="B113" s="13">
        <f>B108+B110</f>
        <v>144</v>
      </c>
      <c r="C113" s="20" t="s">
        <v>17</v>
      </c>
      <c r="D113" s="21">
        <f t="shared" ref="D113:M113" si="59">D108+D110+D112</f>
        <v>5487.36</v>
      </c>
      <c r="E113" s="21">
        <f t="shared" si="59"/>
        <v>5619.86</v>
      </c>
      <c r="F113" s="21">
        <f t="shared" si="59"/>
        <v>5752.36</v>
      </c>
      <c r="G113" s="21">
        <f t="shared" si="59"/>
        <v>5925.5999999999995</v>
      </c>
      <c r="H113" s="21">
        <f t="shared" si="59"/>
        <v>6105.5999999999995</v>
      </c>
      <c r="I113" s="21">
        <f t="shared" si="59"/>
        <v>6285.5999999999995</v>
      </c>
      <c r="J113" s="21">
        <f t="shared" si="59"/>
        <v>6464.16</v>
      </c>
      <c r="K113" s="21">
        <f t="shared" si="59"/>
        <v>6644.16</v>
      </c>
      <c r="L113" s="21">
        <f t="shared" si="59"/>
        <v>6824.16</v>
      </c>
      <c r="M113" s="21">
        <f t="shared" si="59"/>
        <v>7002.7200000000012</v>
      </c>
    </row>
    <row r="114" spans="1:13" x14ac:dyDescent="0.2">
      <c r="A114" s="13"/>
      <c r="B114" s="13"/>
      <c r="C114" s="20" t="s">
        <v>33</v>
      </c>
      <c r="D114" s="21">
        <f>D113*'Start Page'!$C$65</f>
        <v>142671.35999999999</v>
      </c>
      <c r="E114" s="21">
        <f>E113*'Start Page'!$C$65</f>
        <v>146116.35999999999</v>
      </c>
      <c r="F114" s="21">
        <f>F113*'Start Page'!$C$65</f>
        <v>149561.35999999999</v>
      </c>
      <c r="G114" s="21">
        <f>G113*'Start Page'!$C$65</f>
        <v>154065.59999999998</v>
      </c>
      <c r="H114" s="21">
        <f>H113*'Start Page'!$C$65</f>
        <v>158745.59999999998</v>
      </c>
      <c r="I114" s="21">
        <f>I113*'Start Page'!$C$65</f>
        <v>163425.59999999998</v>
      </c>
      <c r="J114" s="21">
        <f>J113*'Start Page'!$C$65</f>
        <v>168068.16</v>
      </c>
      <c r="K114" s="21">
        <f>K113*'Start Page'!$C$65</f>
        <v>172748.16</v>
      </c>
      <c r="L114" s="21">
        <f>L113*'Start Page'!$C$65</f>
        <v>177428.16</v>
      </c>
      <c r="M114" s="21">
        <f>M113*'Start Page'!$C$65</f>
        <v>182070.72000000003</v>
      </c>
    </row>
    <row r="115" spans="1:13" s="25" customFormat="1" x14ac:dyDescent="0.2">
      <c r="A115" s="22"/>
      <c r="B115" s="22"/>
      <c r="C115" s="23" t="s">
        <v>71</v>
      </c>
      <c r="D115" s="24">
        <f>D109*$B$13*'Start Page'!$C$65</f>
        <v>140063.03999999998</v>
      </c>
      <c r="E115" s="24">
        <f>E109*$B$13*'Start Page'!$C$65</f>
        <v>144743.03999999998</v>
      </c>
      <c r="F115" s="24">
        <f>F109*$B$13*'Start Page'!$C$65</f>
        <v>149423.03999999998</v>
      </c>
      <c r="G115" s="24">
        <f>G109*$B$13*'Start Page'!$C$65</f>
        <v>154065.59999999998</v>
      </c>
      <c r="H115" s="24">
        <f>H109*$B$13*'Start Page'!$C$65</f>
        <v>158745.59999999998</v>
      </c>
      <c r="I115" s="24">
        <f>I109*$B$13*'Start Page'!$C$65</f>
        <v>163425.59999999998</v>
      </c>
      <c r="J115" s="24">
        <f>J109*$B$13*'Start Page'!$C$65</f>
        <v>168068.16</v>
      </c>
      <c r="K115" s="24">
        <f>K109*$B$13*'Start Page'!$C$65</f>
        <v>172748.16</v>
      </c>
      <c r="L115" s="24">
        <f>L109*$B$13*'Start Page'!$C$65</f>
        <v>177428.16</v>
      </c>
      <c r="M115" s="120">
        <f>M109*$B$13*'Start Page'!$C$65</f>
        <v>182070.72</v>
      </c>
    </row>
    <row r="116" spans="1:13" x14ac:dyDescent="0.2">
      <c r="A116" s="11" t="s">
        <v>121</v>
      </c>
      <c r="B116" s="28"/>
    </row>
    <row r="117" spans="1:13" x14ac:dyDescent="0.2">
      <c r="A117" s="11" t="s">
        <v>72</v>
      </c>
      <c r="B117" s="28"/>
    </row>
    <row r="118" spans="1:13" x14ac:dyDescent="0.2">
      <c r="A118" s="28"/>
      <c r="B118" s="28"/>
    </row>
    <row r="119" spans="1:13" x14ac:dyDescent="0.2">
      <c r="A119" s="28" t="s">
        <v>73</v>
      </c>
      <c r="B119" s="28"/>
    </row>
    <row r="120" spans="1:13" x14ac:dyDescent="0.2">
      <c r="A120" s="28" t="s">
        <v>74</v>
      </c>
      <c r="B120" s="28"/>
      <c r="G120" s="30"/>
    </row>
    <row r="121" spans="1:13" x14ac:dyDescent="0.2">
      <c r="A121" s="28" t="s">
        <v>19</v>
      </c>
      <c r="B121" s="29"/>
    </row>
    <row r="122" spans="1:13" x14ac:dyDescent="0.2">
      <c r="A122" s="28" t="s">
        <v>32</v>
      </c>
      <c r="B122" s="28"/>
      <c r="G122" s="30">
        <f>ROUND(ROUND(D71/2087,2)*1.5,2)</f>
        <v>40.049999999999997</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19" display="Return to Start Page"/>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Page'!$C$63</f>
        <v>2018</v>
      </c>
      <c r="F1" s="9" t="s">
        <v>35</v>
      </c>
    </row>
    <row r="2" spans="1:13" s="7" customFormat="1" ht="25.5" customHeight="1" x14ac:dyDescent="0.4">
      <c r="E2" s="8"/>
      <c r="G2" s="83" t="s">
        <v>69</v>
      </c>
      <c r="H2" s="10" t="str">
        <f>'Start Page'!C46</f>
        <v>Rest of the United States</v>
      </c>
    </row>
    <row r="3" spans="1:13" s="7" customFormat="1" ht="25.5" customHeight="1" x14ac:dyDescent="0.4">
      <c r="G3" s="8">
        <f>'Start Page'!C33</f>
        <v>60</v>
      </c>
      <c r="H3" s="9" t="s">
        <v>40</v>
      </c>
    </row>
    <row r="4" spans="1:13" s="7" customFormat="1" ht="12.75" customHeight="1" x14ac:dyDescent="0.2">
      <c r="F4" s="194" t="str">
        <f>IF(E1='GS Pay Calculator'!B2,"","Warning! These pay figures are now estimates only!")</f>
        <v/>
      </c>
      <c r="G4" s="194"/>
      <c r="H4" s="194"/>
      <c r="I4" s="194"/>
    </row>
    <row r="5" spans="1:13" s="7" customFormat="1" ht="12.75" customHeight="1" x14ac:dyDescent="0.2">
      <c r="G5" s="192" t="s">
        <v>95</v>
      </c>
      <c r="H5" s="192"/>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26587</v>
      </c>
      <c r="E7" s="118">
        <f>'GS Pay Scale'!C9</f>
        <v>27473</v>
      </c>
      <c r="F7" s="118">
        <f>'GS Pay Scale'!D9</f>
        <v>28359</v>
      </c>
      <c r="G7" s="118">
        <f>'GS Pay Scale'!E9</f>
        <v>29245</v>
      </c>
      <c r="H7" s="118">
        <f>'GS Pay Scale'!F9</f>
        <v>30131</v>
      </c>
      <c r="I7" s="118">
        <f>'GS Pay Scale'!G9</f>
        <v>31017</v>
      </c>
      <c r="J7" s="118">
        <f>'GS Pay Scale'!H9</f>
        <v>31903</v>
      </c>
      <c r="K7" s="118">
        <f>'GS Pay Scale'!I9</f>
        <v>32789</v>
      </c>
      <c r="L7" s="118">
        <f>'GS Pay Scale'!J9</f>
        <v>33675</v>
      </c>
      <c r="M7" s="118">
        <f>'GS Pay Scale'!K9</f>
        <v>34561</v>
      </c>
    </row>
    <row r="8" spans="1:13" x14ac:dyDescent="0.2">
      <c r="A8" s="13"/>
      <c r="B8" s="13">
        <v>80</v>
      </c>
      <c r="C8" s="32" t="s">
        <v>44</v>
      </c>
      <c r="D8" s="118">
        <f>D9*80</f>
        <v>1019.2</v>
      </c>
      <c r="E8" s="118">
        <f t="shared" ref="E8:M8" si="0">E9*80</f>
        <v>1052.8</v>
      </c>
      <c r="F8" s="118">
        <f t="shared" si="0"/>
        <v>1087.2</v>
      </c>
      <c r="G8" s="118">
        <f t="shared" si="0"/>
        <v>1120.8</v>
      </c>
      <c r="H8" s="118">
        <f t="shared" si="0"/>
        <v>1155.2</v>
      </c>
      <c r="I8" s="118">
        <f t="shared" si="0"/>
        <v>1188.8</v>
      </c>
      <c r="J8" s="118">
        <f t="shared" si="0"/>
        <v>1223.1999999999998</v>
      </c>
      <c r="K8" s="118">
        <f t="shared" si="0"/>
        <v>1256.8000000000002</v>
      </c>
      <c r="L8" s="118">
        <f t="shared" si="0"/>
        <v>1291.2</v>
      </c>
      <c r="M8" s="118">
        <f t="shared" si="0"/>
        <v>1324.8</v>
      </c>
    </row>
    <row r="9" spans="1:13" x14ac:dyDescent="0.2">
      <c r="A9" s="13"/>
      <c r="B9" s="13"/>
      <c r="C9" s="32" t="s">
        <v>20</v>
      </c>
      <c r="D9" s="33">
        <f>ROUND(D7/2087,2)</f>
        <v>12.74</v>
      </c>
      <c r="E9" s="33">
        <f t="shared" ref="E9:M9" si="1">ROUND(E7/2087,2)</f>
        <v>13.16</v>
      </c>
      <c r="F9" s="33">
        <f t="shared" si="1"/>
        <v>13.59</v>
      </c>
      <c r="G9" s="33">
        <f t="shared" si="1"/>
        <v>14.01</v>
      </c>
      <c r="H9" s="33">
        <f t="shared" si="1"/>
        <v>14.44</v>
      </c>
      <c r="I9" s="33">
        <f t="shared" si="1"/>
        <v>14.86</v>
      </c>
      <c r="J9" s="33">
        <f t="shared" si="1"/>
        <v>15.29</v>
      </c>
      <c r="K9" s="33">
        <f t="shared" si="1"/>
        <v>15.71</v>
      </c>
      <c r="L9" s="33">
        <f t="shared" si="1"/>
        <v>16.14</v>
      </c>
      <c r="M9" s="33">
        <f t="shared" si="1"/>
        <v>16.559999999999999</v>
      </c>
    </row>
    <row r="10" spans="1:13" x14ac:dyDescent="0.2">
      <c r="A10" s="13"/>
      <c r="B10" s="13">
        <v>26</v>
      </c>
      <c r="C10" s="16" t="s">
        <v>41</v>
      </c>
      <c r="D10" s="33">
        <f>D11*26</f>
        <v>250.9</v>
      </c>
      <c r="E10" s="33">
        <f t="shared" ref="E10:M10" si="2">E11*26</f>
        <v>259.22000000000003</v>
      </c>
      <c r="F10" s="33">
        <f t="shared" si="2"/>
        <v>267.53999999999996</v>
      </c>
      <c r="G10" s="33">
        <f t="shared" si="2"/>
        <v>275.86</v>
      </c>
      <c r="H10" s="33">
        <f t="shared" si="2"/>
        <v>284.18</v>
      </c>
      <c r="I10" s="33">
        <f t="shared" si="2"/>
        <v>292.5</v>
      </c>
      <c r="J10" s="33">
        <f t="shared" si="2"/>
        <v>301.08</v>
      </c>
      <c r="K10" s="33">
        <f t="shared" si="2"/>
        <v>309.40000000000003</v>
      </c>
      <c r="L10" s="33">
        <f t="shared" si="2"/>
        <v>317.72000000000003</v>
      </c>
      <c r="M10" s="33">
        <f t="shared" si="2"/>
        <v>326.03999999999996</v>
      </c>
    </row>
    <row r="11" spans="1:13" x14ac:dyDescent="0.2">
      <c r="A11" s="13"/>
      <c r="B11" s="13"/>
      <c r="C11" s="16" t="s">
        <v>13</v>
      </c>
      <c r="D11" s="33">
        <f>ROUND(D7/2756,2)</f>
        <v>9.65</v>
      </c>
      <c r="E11" s="33">
        <f t="shared" ref="E11:M11" si="3">ROUND(E7/2756,2)</f>
        <v>9.9700000000000006</v>
      </c>
      <c r="F11" s="33">
        <f t="shared" si="3"/>
        <v>10.29</v>
      </c>
      <c r="G11" s="33">
        <f t="shared" si="3"/>
        <v>10.61</v>
      </c>
      <c r="H11" s="33">
        <f t="shared" si="3"/>
        <v>10.93</v>
      </c>
      <c r="I11" s="33">
        <f t="shared" si="3"/>
        <v>11.25</v>
      </c>
      <c r="J11" s="33">
        <f t="shared" si="3"/>
        <v>11.58</v>
      </c>
      <c r="K11" s="33">
        <f t="shared" si="3"/>
        <v>11.9</v>
      </c>
      <c r="L11" s="33">
        <f t="shared" si="3"/>
        <v>12.22</v>
      </c>
      <c r="M11" s="33">
        <f t="shared" si="3"/>
        <v>12.54</v>
      </c>
    </row>
    <row r="12" spans="1:13" x14ac:dyDescent="0.2">
      <c r="A12" s="13" t="s">
        <v>22</v>
      </c>
      <c r="B12" s="19">
        <f>($G$3-53)*2</f>
        <v>14</v>
      </c>
      <c r="C12" s="16" t="s">
        <v>42</v>
      </c>
      <c r="D12" s="33">
        <f>D13*$B$12</f>
        <v>202.72</v>
      </c>
      <c r="E12" s="33">
        <f t="shared" ref="E12:M12" si="4">E13*$B$12</f>
        <v>209.44</v>
      </c>
      <c r="F12" s="33">
        <f t="shared" si="4"/>
        <v>216.16</v>
      </c>
      <c r="G12" s="33">
        <f t="shared" si="4"/>
        <v>222.88</v>
      </c>
      <c r="H12" s="33">
        <f t="shared" si="4"/>
        <v>229.59999999999997</v>
      </c>
      <c r="I12" s="33">
        <f t="shared" si="4"/>
        <v>236.32</v>
      </c>
      <c r="J12" s="33">
        <f t="shared" si="4"/>
        <v>243.18</v>
      </c>
      <c r="K12" s="33">
        <f t="shared" si="4"/>
        <v>249.90000000000003</v>
      </c>
      <c r="L12" s="33">
        <f t="shared" si="4"/>
        <v>256.62</v>
      </c>
      <c r="M12" s="33">
        <f t="shared" si="4"/>
        <v>263.33999999999997</v>
      </c>
    </row>
    <row r="13" spans="1:13" x14ac:dyDescent="0.2">
      <c r="A13" s="13"/>
      <c r="B13" s="13"/>
      <c r="C13" s="16" t="s">
        <v>14</v>
      </c>
      <c r="D13" s="17">
        <f>IF(ROUND(D11*1.5,2)&lt;$G$149,ROUND(D11*1.5,2),IF($G$149&lt;D11,D11,$G$149))</f>
        <v>14.48</v>
      </c>
      <c r="E13" s="17">
        <f t="shared" ref="E13:M13" si="5">IF(ROUND(E11*1.5,2)&lt;$G$149,ROUND(E11*1.5,2),IF($G$149&lt;E11,E11,$G$149))</f>
        <v>14.96</v>
      </c>
      <c r="F13" s="17">
        <f t="shared" si="5"/>
        <v>15.44</v>
      </c>
      <c r="G13" s="17">
        <f t="shared" si="5"/>
        <v>15.92</v>
      </c>
      <c r="H13" s="17">
        <f t="shared" si="5"/>
        <v>16.399999999999999</v>
      </c>
      <c r="I13" s="17">
        <f t="shared" si="5"/>
        <v>16.88</v>
      </c>
      <c r="J13" s="17">
        <f t="shared" si="5"/>
        <v>17.37</v>
      </c>
      <c r="K13" s="17">
        <f t="shared" si="5"/>
        <v>17.850000000000001</v>
      </c>
      <c r="L13" s="17">
        <f t="shared" si="5"/>
        <v>18.329999999999998</v>
      </c>
      <c r="M13" s="17">
        <f t="shared" si="5"/>
        <v>18.809999999999999</v>
      </c>
    </row>
    <row r="14" spans="1:13" s="62" customFormat="1" x14ac:dyDescent="0.2">
      <c r="A14" s="61"/>
      <c r="B14" s="61"/>
      <c r="C14" s="32" t="s">
        <v>46</v>
      </c>
      <c r="D14" s="17">
        <f>(ROUND(D9*'Start Page'!$F$48,2)*80)+(ROUND(D11*'Start Page'!$F$48,2)*($B$15-80))</f>
        <v>0</v>
      </c>
      <c r="E14" s="17">
        <f>(ROUND(E9*'Start Page'!$F$48,2)*80)+(ROUND(E11*'Start Page'!$F$48,2)*($B$15-80))</f>
        <v>0</v>
      </c>
      <c r="F14" s="17">
        <f>(ROUND(F9*'Start Page'!$F$48,2)*80)+(ROUND(F11*'Start Page'!$F$48,2)*($B$15-80))</f>
        <v>0</v>
      </c>
      <c r="G14" s="17">
        <f>(ROUND(G9*'Start Page'!$F$48,2)*80)+(ROUND(G11*'Start Page'!$F$48,2)*($B$15-80))</f>
        <v>0</v>
      </c>
      <c r="H14" s="17">
        <f>(ROUND(H9*'Start Page'!$F$48,2)*80)+(ROUND(H11*'Start Page'!$F$48,2)*($B$15-80))</f>
        <v>0</v>
      </c>
      <c r="I14" s="17">
        <f>(ROUND(I9*'Start Page'!$F$48,2)*80)+(ROUND(I11*'Start Page'!$F$48,2)*($B$15-80))</f>
        <v>0</v>
      </c>
      <c r="J14" s="17">
        <f>(ROUND(J9*'Start Page'!$F$48,2)*80)+(ROUND(J11*'Start Page'!$F$48,2)*($B$15-80))</f>
        <v>0</v>
      </c>
      <c r="K14" s="17">
        <f>(ROUND(K9*'Start Page'!$F$48,2)*80)+(ROUND(K11*'Start Page'!$F$48,2)*($B$15-80))</f>
        <v>0</v>
      </c>
      <c r="L14" s="17">
        <f>(ROUND(L9*'Start Page'!$F$48,2)*80)+(ROUND(L11*'Start Page'!$F$48,2)*($B$15-80))</f>
        <v>0</v>
      </c>
      <c r="M14" s="17">
        <f>(ROUND(M9*'Start Page'!$F$48,2)*80)+(ROUND(M11*'Start Page'!$F$48,2)*($B$15-80))</f>
        <v>0</v>
      </c>
    </row>
    <row r="15" spans="1:13" x14ac:dyDescent="0.2">
      <c r="A15" s="13"/>
      <c r="B15" s="13">
        <f>B8+B10+B12</f>
        <v>120</v>
      </c>
      <c r="C15" s="20" t="s">
        <v>17</v>
      </c>
      <c r="D15" s="34">
        <f>D8+D10+D12+D14</f>
        <v>1472.8200000000002</v>
      </c>
      <c r="E15" s="34">
        <f t="shared" ref="E15:M15" si="6">E8+E10+E12+E14</f>
        <v>1521.46</v>
      </c>
      <c r="F15" s="34">
        <f t="shared" si="6"/>
        <v>1570.9</v>
      </c>
      <c r="G15" s="34">
        <f t="shared" si="6"/>
        <v>1619.54</v>
      </c>
      <c r="H15" s="34">
        <f t="shared" si="6"/>
        <v>1668.98</v>
      </c>
      <c r="I15" s="34">
        <f t="shared" si="6"/>
        <v>1717.62</v>
      </c>
      <c r="J15" s="34">
        <f t="shared" si="6"/>
        <v>1767.4599999999998</v>
      </c>
      <c r="K15" s="34">
        <f t="shared" si="6"/>
        <v>1816.1000000000004</v>
      </c>
      <c r="L15" s="34">
        <f t="shared" si="6"/>
        <v>1865.54</v>
      </c>
      <c r="M15" s="34">
        <f t="shared" si="6"/>
        <v>1914.1799999999998</v>
      </c>
    </row>
    <row r="16" spans="1:13" x14ac:dyDescent="0.2">
      <c r="A16" s="13"/>
      <c r="B16" s="13"/>
      <c r="C16" s="20" t="s">
        <v>33</v>
      </c>
      <c r="D16" s="34">
        <f>D15*'Start Page'!$C$65</f>
        <v>38293.320000000007</v>
      </c>
      <c r="E16" s="34">
        <f>E15*'Start Page'!$C$65</f>
        <v>39557.96</v>
      </c>
      <c r="F16" s="34">
        <f>F15*'Start Page'!$C$65</f>
        <v>40843.4</v>
      </c>
      <c r="G16" s="34">
        <f>G15*'Start Page'!$C$65</f>
        <v>42108.04</v>
      </c>
      <c r="H16" s="34">
        <f>H15*'Start Page'!$C$65</f>
        <v>43393.48</v>
      </c>
      <c r="I16" s="34">
        <f>I15*'Start Page'!$C$65</f>
        <v>44658.119999999995</v>
      </c>
      <c r="J16" s="34">
        <f>J15*'Start Page'!$C$65</f>
        <v>45953.959999999992</v>
      </c>
      <c r="K16" s="34">
        <f>K15*'Start Page'!$C$65</f>
        <v>47218.600000000006</v>
      </c>
      <c r="L16" s="34">
        <f>L15*'Start Page'!$C$65</f>
        <v>48504.04</v>
      </c>
      <c r="M16" s="34">
        <f>M15*'Start Page'!$C$65</f>
        <v>49768.679999999993</v>
      </c>
    </row>
    <row r="17" spans="1:13" s="36" customFormat="1" x14ac:dyDescent="0.2">
      <c r="A17" s="22"/>
      <c r="B17" s="22"/>
      <c r="C17" s="23" t="s">
        <v>71</v>
      </c>
      <c r="D17" s="35">
        <f>((D9*80)+(D11*($B$15-80)))*'Start Page'!$C$65</f>
        <v>36535.200000000004</v>
      </c>
      <c r="E17" s="35">
        <f>((E9*80)+(E11*($B$15-80)))*'Start Page'!$C$65</f>
        <v>37741.599999999999</v>
      </c>
      <c r="F17" s="35">
        <f>((F9*80)+(F11*($B$15-80)))*'Start Page'!$C$65</f>
        <v>38968.799999999996</v>
      </c>
      <c r="G17" s="35">
        <f>((G9*80)+(G11*($B$15-80)))*'Start Page'!$C$65</f>
        <v>40175.199999999997</v>
      </c>
      <c r="H17" s="35">
        <f>((H9*80)+(H11*($B$15-80)))*'Start Page'!$C$65</f>
        <v>41402.400000000001</v>
      </c>
      <c r="I17" s="35">
        <f>((I9*80)+(I11*($B$15-80)))*'Start Page'!$C$65</f>
        <v>42608.799999999996</v>
      </c>
      <c r="J17" s="35">
        <f>((J9*80)+(J11*($B$15-80)))*'Start Page'!$C$65</f>
        <v>43846.399999999994</v>
      </c>
      <c r="K17" s="35">
        <f>((K9*80)+(K11*($B$15-80)))*'Start Page'!$C$65</f>
        <v>45052.800000000003</v>
      </c>
      <c r="L17" s="35">
        <f>((L9*80)+(L11*($B$15-80)))*'Start Page'!$C$65</f>
        <v>46280</v>
      </c>
      <c r="M17" s="121">
        <f>((M9*80)+(M11*($B$15-80)))*'Start Page'!$C$65</f>
        <v>47486.399999999994</v>
      </c>
    </row>
    <row r="18" spans="1:13" x14ac:dyDescent="0.2">
      <c r="A18" s="13"/>
      <c r="B18" s="26"/>
      <c r="C18" s="14" t="s">
        <v>30</v>
      </c>
      <c r="D18" s="117">
        <f>'GS Pay Scale'!B10</f>
        <v>29847</v>
      </c>
      <c r="E18" s="117">
        <f>'GS Pay Scale'!C10</f>
        <v>30842</v>
      </c>
      <c r="F18" s="117">
        <f>'GS Pay Scale'!D10</f>
        <v>31836</v>
      </c>
      <c r="G18" s="117">
        <f>'GS Pay Scale'!E10</f>
        <v>32831</v>
      </c>
      <c r="H18" s="117">
        <f>'GS Pay Scale'!F10</f>
        <v>33825</v>
      </c>
      <c r="I18" s="117">
        <f>'GS Pay Scale'!G10</f>
        <v>34820</v>
      </c>
      <c r="J18" s="117">
        <f>'GS Pay Scale'!H10</f>
        <v>35814</v>
      </c>
      <c r="K18" s="117">
        <f>'GS Pay Scale'!I10</f>
        <v>36809</v>
      </c>
      <c r="L18" s="117">
        <f>'GS Pay Scale'!J10</f>
        <v>37803</v>
      </c>
      <c r="M18" s="117">
        <f>'GS Pay Scale'!K10</f>
        <v>38798</v>
      </c>
    </row>
    <row r="19" spans="1:13" x14ac:dyDescent="0.2">
      <c r="A19" s="13"/>
      <c r="B19" s="13">
        <v>80</v>
      </c>
      <c r="C19" s="32" t="s">
        <v>44</v>
      </c>
      <c r="D19" s="118">
        <f t="shared" ref="D19:M19" si="7">D20*80</f>
        <v>1144</v>
      </c>
      <c r="E19" s="118">
        <f t="shared" si="7"/>
        <v>1182.3999999999999</v>
      </c>
      <c r="F19" s="118">
        <f t="shared" si="7"/>
        <v>1220</v>
      </c>
      <c r="G19" s="118">
        <f t="shared" si="7"/>
        <v>1258.4000000000001</v>
      </c>
      <c r="H19" s="118">
        <f t="shared" si="7"/>
        <v>1296.8000000000002</v>
      </c>
      <c r="I19" s="118">
        <f t="shared" si="7"/>
        <v>1334.4</v>
      </c>
      <c r="J19" s="118">
        <f t="shared" si="7"/>
        <v>1372.8</v>
      </c>
      <c r="K19" s="118">
        <f t="shared" si="7"/>
        <v>1411.2</v>
      </c>
      <c r="L19" s="118">
        <f t="shared" si="7"/>
        <v>1448.8</v>
      </c>
      <c r="M19" s="118">
        <f t="shared" si="7"/>
        <v>1487.2</v>
      </c>
    </row>
    <row r="20" spans="1:13" x14ac:dyDescent="0.2">
      <c r="A20" s="13"/>
      <c r="B20" s="13"/>
      <c r="C20" s="32" t="s">
        <v>20</v>
      </c>
      <c r="D20" s="33">
        <f t="shared" ref="D20:M20" si="8">ROUND(D18/2087,2)</f>
        <v>14.3</v>
      </c>
      <c r="E20" s="33">
        <f t="shared" si="8"/>
        <v>14.78</v>
      </c>
      <c r="F20" s="33">
        <f t="shared" si="8"/>
        <v>15.25</v>
      </c>
      <c r="G20" s="33">
        <f t="shared" si="8"/>
        <v>15.73</v>
      </c>
      <c r="H20" s="33">
        <f t="shared" si="8"/>
        <v>16.21</v>
      </c>
      <c r="I20" s="33">
        <f t="shared" si="8"/>
        <v>16.68</v>
      </c>
      <c r="J20" s="33">
        <f t="shared" si="8"/>
        <v>17.16</v>
      </c>
      <c r="K20" s="33">
        <f t="shared" si="8"/>
        <v>17.64</v>
      </c>
      <c r="L20" s="33">
        <f t="shared" si="8"/>
        <v>18.11</v>
      </c>
      <c r="M20" s="33">
        <f t="shared" si="8"/>
        <v>18.59</v>
      </c>
    </row>
    <row r="21" spans="1:13" x14ac:dyDescent="0.2">
      <c r="A21" s="13"/>
      <c r="B21" s="13">
        <v>26</v>
      </c>
      <c r="C21" s="16" t="s">
        <v>41</v>
      </c>
      <c r="D21" s="33">
        <f t="shared" ref="D21:M21" si="9">D22*26</f>
        <v>281.58</v>
      </c>
      <c r="E21" s="33">
        <f t="shared" si="9"/>
        <v>290.94</v>
      </c>
      <c r="F21" s="33">
        <f t="shared" si="9"/>
        <v>300.3</v>
      </c>
      <c r="G21" s="33">
        <f t="shared" si="9"/>
        <v>309.66000000000003</v>
      </c>
      <c r="H21" s="33">
        <f t="shared" si="9"/>
        <v>319.02</v>
      </c>
      <c r="I21" s="33">
        <f t="shared" si="9"/>
        <v>328.38</v>
      </c>
      <c r="J21" s="33">
        <f t="shared" si="9"/>
        <v>337.74</v>
      </c>
      <c r="K21" s="33">
        <f t="shared" si="9"/>
        <v>347.36</v>
      </c>
      <c r="L21" s="33">
        <f t="shared" si="9"/>
        <v>356.72</v>
      </c>
      <c r="M21" s="33">
        <f t="shared" si="9"/>
        <v>366.08</v>
      </c>
    </row>
    <row r="22" spans="1:13" x14ac:dyDescent="0.2">
      <c r="A22" s="13"/>
      <c r="B22" s="13"/>
      <c r="C22" s="16" t="s">
        <v>13</v>
      </c>
      <c r="D22" s="33">
        <f t="shared" ref="D22:M22" si="10">ROUND(D18/2756,2)</f>
        <v>10.83</v>
      </c>
      <c r="E22" s="33">
        <f t="shared" si="10"/>
        <v>11.19</v>
      </c>
      <c r="F22" s="33">
        <f t="shared" si="10"/>
        <v>11.55</v>
      </c>
      <c r="G22" s="33">
        <f t="shared" si="10"/>
        <v>11.91</v>
      </c>
      <c r="H22" s="33">
        <f t="shared" si="10"/>
        <v>12.27</v>
      </c>
      <c r="I22" s="33">
        <f t="shared" si="10"/>
        <v>12.63</v>
      </c>
      <c r="J22" s="33">
        <f t="shared" si="10"/>
        <v>12.99</v>
      </c>
      <c r="K22" s="33">
        <f t="shared" si="10"/>
        <v>13.36</v>
      </c>
      <c r="L22" s="33">
        <f t="shared" si="10"/>
        <v>13.72</v>
      </c>
      <c r="M22" s="33">
        <f t="shared" si="10"/>
        <v>14.08</v>
      </c>
    </row>
    <row r="23" spans="1:13" x14ac:dyDescent="0.2">
      <c r="A23" s="13" t="s">
        <v>23</v>
      </c>
      <c r="B23" s="19">
        <f>($G$3-53)*2</f>
        <v>14</v>
      </c>
      <c r="C23" s="16" t="s">
        <v>42</v>
      </c>
      <c r="D23" s="33">
        <f t="shared" ref="D23:M23" si="11">D24*$B$12</f>
        <v>227.5</v>
      </c>
      <c r="E23" s="33">
        <f t="shared" si="11"/>
        <v>235.06</v>
      </c>
      <c r="F23" s="33">
        <f t="shared" si="11"/>
        <v>242.61999999999998</v>
      </c>
      <c r="G23" s="33">
        <f t="shared" si="11"/>
        <v>250.18</v>
      </c>
      <c r="H23" s="33">
        <f t="shared" si="11"/>
        <v>257.74</v>
      </c>
      <c r="I23" s="33">
        <f t="shared" si="11"/>
        <v>265.3</v>
      </c>
      <c r="J23" s="33">
        <f t="shared" si="11"/>
        <v>272.85999999999996</v>
      </c>
      <c r="K23" s="33">
        <f t="shared" si="11"/>
        <v>280.56</v>
      </c>
      <c r="L23" s="33">
        <f t="shared" si="11"/>
        <v>288.12</v>
      </c>
      <c r="M23" s="33">
        <f t="shared" si="11"/>
        <v>295.68</v>
      </c>
    </row>
    <row r="24" spans="1:13" x14ac:dyDescent="0.2">
      <c r="A24" s="13"/>
      <c r="B24" s="13"/>
      <c r="C24" s="16" t="s">
        <v>14</v>
      </c>
      <c r="D24" s="17">
        <f t="shared" ref="D24:M24" si="12">IF(ROUND(D22*1.5,2)&lt;$G$149,ROUND(D22*1.5,2),IF($G$149&lt;D22,D22,$G$149))</f>
        <v>16.25</v>
      </c>
      <c r="E24" s="17">
        <f t="shared" si="12"/>
        <v>16.79</v>
      </c>
      <c r="F24" s="17">
        <f t="shared" si="12"/>
        <v>17.329999999999998</v>
      </c>
      <c r="G24" s="17">
        <f t="shared" si="12"/>
        <v>17.87</v>
      </c>
      <c r="H24" s="17">
        <f t="shared" si="12"/>
        <v>18.41</v>
      </c>
      <c r="I24" s="17">
        <f t="shared" si="12"/>
        <v>18.95</v>
      </c>
      <c r="J24" s="17">
        <f t="shared" si="12"/>
        <v>19.489999999999998</v>
      </c>
      <c r="K24" s="17">
        <f t="shared" si="12"/>
        <v>20.04</v>
      </c>
      <c r="L24" s="17">
        <f t="shared" si="12"/>
        <v>20.58</v>
      </c>
      <c r="M24" s="17">
        <f t="shared" si="12"/>
        <v>21.12</v>
      </c>
    </row>
    <row r="25" spans="1:13" s="62" customFormat="1" x14ac:dyDescent="0.2">
      <c r="A25" s="61"/>
      <c r="B25" s="61"/>
      <c r="C25" s="32" t="s">
        <v>46</v>
      </c>
      <c r="D25" s="17">
        <f>(ROUND(D20*'Start Page'!$F$48,2)*80)+(ROUND(D22*'Start Page'!$F$48,2)*($B$15-80))</f>
        <v>0</v>
      </c>
      <c r="E25" s="17">
        <f>(ROUND(E20*'Start Page'!$F$48,2)*80)+(ROUND(E22*'Start Page'!$F$48,2)*($B$15-80))</f>
        <v>0</v>
      </c>
      <c r="F25" s="17">
        <f>(ROUND(F20*'Start Page'!$F$48,2)*80)+(ROUND(F22*'Start Page'!$F$48,2)*($B$15-80))</f>
        <v>0</v>
      </c>
      <c r="G25" s="17">
        <f>(ROUND(G20*'Start Page'!$F$48,2)*80)+(ROUND(G22*'Start Page'!$F$48,2)*($B$15-80))</f>
        <v>0</v>
      </c>
      <c r="H25" s="17">
        <f>(ROUND(H20*'Start Page'!$F$48,2)*80)+(ROUND(H22*'Start Page'!$F$48,2)*($B$15-80))</f>
        <v>0</v>
      </c>
      <c r="I25" s="17">
        <f>(ROUND(I20*'Start Page'!$F$48,2)*80)+(ROUND(I22*'Start Page'!$F$48,2)*($B$15-80))</f>
        <v>0</v>
      </c>
      <c r="J25" s="17">
        <f>(ROUND(J20*'Start Page'!$F$48,2)*80)+(ROUND(J22*'Start Page'!$F$48,2)*($B$15-80))</f>
        <v>0</v>
      </c>
      <c r="K25" s="17">
        <f>(ROUND(K20*'Start Page'!$F$48,2)*80)+(ROUND(K22*'Start Page'!$F$48,2)*($B$15-80))</f>
        <v>0</v>
      </c>
      <c r="L25" s="17">
        <f>(ROUND(L20*'Start Page'!$F$48,2)*80)+(ROUND(L22*'Start Page'!$F$48,2)*($B$15-80))</f>
        <v>0</v>
      </c>
      <c r="M25" s="17">
        <f>(ROUND(M20*'Start Page'!$F$48,2)*80)+(ROUND(M22*'Start Page'!$F$48,2)*($B$15-80))</f>
        <v>0</v>
      </c>
    </row>
    <row r="26" spans="1:13" x14ac:dyDescent="0.2">
      <c r="A26" s="13"/>
      <c r="B26" s="13">
        <f>B19+B21+B23</f>
        <v>120</v>
      </c>
      <c r="C26" s="20" t="s">
        <v>17</v>
      </c>
      <c r="D26" s="34">
        <f t="shared" ref="D26:M26" si="13">D19+D21+D23+D25</f>
        <v>1653.08</v>
      </c>
      <c r="E26" s="34">
        <f t="shared" si="13"/>
        <v>1708.3999999999999</v>
      </c>
      <c r="F26" s="34">
        <f t="shared" si="13"/>
        <v>1762.9199999999998</v>
      </c>
      <c r="G26" s="34">
        <f t="shared" si="13"/>
        <v>1818.2400000000002</v>
      </c>
      <c r="H26" s="34">
        <f t="shared" si="13"/>
        <v>1873.5600000000002</v>
      </c>
      <c r="I26" s="34">
        <f t="shared" si="13"/>
        <v>1928.0800000000002</v>
      </c>
      <c r="J26" s="34">
        <f t="shared" si="13"/>
        <v>1983.3999999999999</v>
      </c>
      <c r="K26" s="34">
        <f t="shared" si="13"/>
        <v>2039.12</v>
      </c>
      <c r="L26" s="34">
        <f t="shared" si="13"/>
        <v>2093.64</v>
      </c>
      <c r="M26" s="34">
        <f t="shared" si="13"/>
        <v>2148.96</v>
      </c>
    </row>
    <row r="27" spans="1:13" x14ac:dyDescent="0.2">
      <c r="A27" s="13"/>
      <c r="B27" s="13"/>
      <c r="C27" s="20" t="s">
        <v>33</v>
      </c>
      <c r="D27" s="34">
        <f>D26*'Start Page'!$C$65</f>
        <v>42980.08</v>
      </c>
      <c r="E27" s="34">
        <f>E26*'Start Page'!$C$65</f>
        <v>44418.399999999994</v>
      </c>
      <c r="F27" s="34">
        <f>F26*'Start Page'!$C$65</f>
        <v>45835.92</v>
      </c>
      <c r="G27" s="34">
        <f>G26*'Start Page'!$C$65</f>
        <v>47274.240000000005</v>
      </c>
      <c r="H27" s="34">
        <f>H26*'Start Page'!$C$65</f>
        <v>48712.560000000005</v>
      </c>
      <c r="I27" s="34">
        <f>I26*'Start Page'!$C$65</f>
        <v>50130.080000000002</v>
      </c>
      <c r="J27" s="34">
        <f>J26*'Start Page'!$C$65</f>
        <v>51568.399999999994</v>
      </c>
      <c r="K27" s="34">
        <f>K26*'Start Page'!$C$65</f>
        <v>53017.119999999995</v>
      </c>
      <c r="L27" s="34">
        <f>L26*'Start Page'!$C$65</f>
        <v>54434.64</v>
      </c>
      <c r="M27" s="34">
        <f>M26*'Start Page'!$C$65</f>
        <v>55872.959999999999</v>
      </c>
    </row>
    <row r="28" spans="1:13" s="36" customFormat="1" x14ac:dyDescent="0.2">
      <c r="A28" s="22"/>
      <c r="B28" s="22"/>
      <c r="C28" s="23" t="s">
        <v>71</v>
      </c>
      <c r="D28" s="35">
        <f>((D20*80)+(D22*($B$15-80)))*'Start Page'!$C$65</f>
        <v>41007.200000000004</v>
      </c>
      <c r="E28" s="35">
        <f>((E20*80)+(E22*($B$15-80)))*'Start Page'!$C$65</f>
        <v>42379.999999999993</v>
      </c>
      <c r="F28" s="35">
        <f>((F20*80)+(F22*($B$15-80)))*'Start Page'!$C$65</f>
        <v>43732</v>
      </c>
      <c r="G28" s="35">
        <f>((G20*80)+(G22*($B$15-80)))*'Start Page'!$C$65</f>
        <v>45104.800000000003</v>
      </c>
      <c r="H28" s="35">
        <f>((H20*80)+(H22*($B$15-80)))*'Start Page'!$C$65</f>
        <v>46477.600000000006</v>
      </c>
      <c r="I28" s="35">
        <f>((I20*80)+(I22*($B$15-80)))*'Start Page'!$C$65</f>
        <v>47829.600000000006</v>
      </c>
      <c r="J28" s="35">
        <f>((J20*80)+(J22*($B$15-80)))*'Start Page'!$C$65</f>
        <v>49202.400000000001</v>
      </c>
      <c r="K28" s="35">
        <f>((K20*80)+(K22*($B$15-80)))*'Start Page'!$C$65</f>
        <v>50585.599999999999</v>
      </c>
      <c r="L28" s="35">
        <f>((L20*80)+(L22*($B$15-80)))*'Start Page'!$C$65</f>
        <v>51937.599999999999</v>
      </c>
      <c r="M28" s="121">
        <f>((M20*80)+(M22*($B$15-80)))*'Start Page'!$C$65</f>
        <v>53310.400000000001</v>
      </c>
    </row>
    <row r="29" spans="1:13" x14ac:dyDescent="0.2">
      <c r="A29" s="13"/>
      <c r="B29" s="26"/>
      <c r="C29" s="14" t="s">
        <v>30</v>
      </c>
      <c r="D29" s="117">
        <f>'GS Pay Scale'!B11</f>
        <v>33394</v>
      </c>
      <c r="E29" s="117">
        <f>'GS Pay Scale'!C11</f>
        <v>34507</v>
      </c>
      <c r="F29" s="117">
        <f>'GS Pay Scale'!D11</f>
        <v>35620</v>
      </c>
      <c r="G29" s="117">
        <f>'GS Pay Scale'!E11</f>
        <v>36734</v>
      </c>
      <c r="H29" s="117">
        <f>'GS Pay Scale'!F11</f>
        <v>37847</v>
      </c>
      <c r="I29" s="117">
        <f>'GS Pay Scale'!G11</f>
        <v>38960</v>
      </c>
      <c r="J29" s="117">
        <f>'GS Pay Scale'!H11</f>
        <v>40074</v>
      </c>
      <c r="K29" s="117">
        <f>'GS Pay Scale'!I11</f>
        <v>41187</v>
      </c>
      <c r="L29" s="117">
        <f>'GS Pay Scale'!J11</f>
        <v>42300</v>
      </c>
      <c r="M29" s="117">
        <f>'GS Pay Scale'!K11</f>
        <v>43414</v>
      </c>
    </row>
    <row r="30" spans="1:13" x14ac:dyDescent="0.2">
      <c r="A30" s="13"/>
      <c r="B30" s="13">
        <v>80</v>
      </c>
      <c r="C30" s="32" t="s">
        <v>44</v>
      </c>
      <c r="D30" s="118">
        <f t="shared" ref="D30:M30" si="14">D31*80</f>
        <v>1280</v>
      </c>
      <c r="E30" s="118">
        <f t="shared" si="14"/>
        <v>1322.4</v>
      </c>
      <c r="F30" s="118">
        <f t="shared" si="14"/>
        <v>1365.6</v>
      </c>
      <c r="G30" s="118">
        <f t="shared" si="14"/>
        <v>1408</v>
      </c>
      <c r="H30" s="118">
        <f t="shared" si="14"/>
        <v>1450.3999999999999</v>
      </c>
      <c r="I30" s="118">
        <f t="shared" si="14"/>
        <v>1493.6000000000001</v>
      </c>
      <c r="J30" s="118">
        <f t="shared" si="14"/>
        <v>1536</v>
      </c>
      <c r="K30" s="118">
        <f t="shared" si="14"/>
        <v>1579.1999999999998</v>
      </c>
      <c r="L30" s="118">
        <f t="shared" si="14"/>
        <v>1621.6</v>
      </c>
      <c r="M30" s="118">
        <f t="shared" si="14"/>
        <v>1664</v>
      </c>
    </row>
    <row r="31" spans="1:13" x14ac:dyDescent="0.2">
      <c r="A31" s="13"/>
      <c r="B31" s="13"/>
      <c r="C31" s="32" t="s">
        <v>20</v>
      </c>
      <c r="D31" s="33">
        <f t="shared" ref="D31:M31" si="15">ROUND(D29/2087,2)</f>
        <v>16</v>
      </c>
      <c r="E31" s="33">
        <f t="shared" si="15"/>
        <v>16.53</v>
      </c>
      <c r="F31" s="33">
        <f t="shared" si="15"/>
        <v>17.07</v>
      </c>
      <c r="G31" s="33">
        <f t="shared" si="15"/>
        <v>17.600000000000001</v>
      </c>
      <c r="H31" s="33">
        <f t="shared" si="15"/>
        <v>18.13</v>
      </c>
      <c r="I31" s="33">
        <f t="shared" si="15"/>
        <v>18.670000000000002</v>
      </c>
      <c r="J31" s="33">
        <f t="shared" si="15"/>
        <v>19.2</v>
      </c>
      <c r="K31" s="33">
        <f t="shared" si="15"/>
        <v>19.739999999999998</v>
      </c>
      <c r="L31" s="33">
        <f t="shared" si="15"/>
        <v>20.27</v>
      </c>
      <c r="M31" s="33">
        <f t="shared" si="15"/>
        <v>20.8</v>
      </c>
    </row>
    <row r="32" spans="1:13" x14ac:dyDescent="0.2">
      <c r="A32" s="13"/>
      <c r="B32" s="13">
        <v>26</v>
      </c>
      <c r="C32" s="16" t="s">
        <v>41</v>
      </c>
      <c r="D32" s="33">
        <f t="shared" ref="D32:M32" si="16">D33*26</f>
        <v>315.12</v>
      </c>
      <c r="E32" s="33">
        <f t="shared" si="16"/>
        <v>325.52</v>
      </c>
      <c r="F32" s="33">
        <f t="shared" si="16"/>
        <v>335.92</v>
      </c>
      <c r="G32" s="33">
        <f t="shared" si="16"/>
        <v>346.58</v>
      </c>
      <c r="H32" s="33">
        <f t="shared" si="16"/>
        <v>356.98</v>
      </c>
      <c r="I32" s="33">
        <f t="shared" si="16"/>
        <v>367.64</v>
      </c>
      <c r="J32" s="33">
        <f t="shared" si="16"/>
        <v>378.03999999999996</v>
      </c>
      <c r="K32" s="33">
        <f t="shared" si="16"/>
        <v>388.44</v>
      </c>
      <c r="L32" s="33">
        <f t="shared" si="16"/>
        <v>399.09999999999997</v>
      </c>
      <c r="M32" s="33">
        <f t="shared" si="16"/>
        <v>409.5</v>
      </c>
    </row>
    <row r="33" spans="1:13" x14ac:dyDescent="0.2">
      <c r="A33" s="13"/>
      <c r="B33" s="13"/>
      <c r="C33" s="16" t="s">
        <v>13</v>
      </c>
      <c r="D33" s="33">
        <f t="shared" ref="D33:M33" si="17">ROUND(D29/2756,2)</f>
        <v>12.12</v>
      </c>
      <c r="E33" s="33">
        <f t="shared" si="17"/>
        <v>12.52</v>
      </c>
      <c r="F33" s="33">
        <f t="shared" si="17"/>
        <v>12.92</v>
      </c>
      <c r="G33" s="33">
        <f t="shared" si="17"/>
        <v>13.33</v>
      </c>
      <c r="H33" s="33">
        <f t="shared" si="17"/>
        <v>13.73</v>
      </c>
      <c r="I33" s="33">
        <f t="shared" si="17"/>
        <v>14.14</v>
      </c>
      <c r="J33" s="33">
        <f t="shared" si="17"/>
        <v>14.54</v>
      </c>
      <c r="K33" s="33">
        <f t="shared" si="17"/>
        <v>14.94</v>
      </c>
      <c r="L33" s="33">
        <f t="shared" si="17"/>
        <v>15.35</v>
      </c>
      <c r="M33" s="33">
        <f t="shared" si="17"/>
        <v>15.75</v>
      </c>
    </row>
    <row r="34" spans="1:13" x14ac:dyDescent="0.2">
      <c r="A34" s="13" t="s">
        <v>24</v>
      </c>
      <c r="B34" s="19">
        <f>($G$3-53)*2</f>
        <v>14</v>
      </c>
      <c r="C34" s="16" t="s">
        <v>42</v>
      </c>
      <c r="D34" s="33">
        <f t="shared" ref="D34:M34" si="18">D35*$B$12</f>
        <v>254.51999999999998</v>
      </c>
      <c r="E34" s="33">
        <f t="shared" si="18"/>
        <v>262.92</v>
      </c>
      <c r="F34" s="33">
        <f t="shared" si="18"/>
        <v>271.32</v>
      </c>
      <c r="G34" s="33">
        <f t="shared" si="18"/>
        <v>280</v>
      </c>
      <c r="H34" s="33">
        <f t="shared" si="18"/>
        <v>288.40000000000003</v>
      </c>
      <c r="I34" s="33">
        <f t="shared" si="18"/>
        <v>296.94</v>
      </c>
      <c r="J34" s="33">
        <f t="shared" si="18"/>
        <v>305.33999999999997</v>
      </c>
      <c r="K34" s="33">
        <f t="shared" si="18"/>
        <v>313.74</v>
      </c>
      <c r="L34" s="33">
        <f t="shared" si="18"/>
        <v>322.42</v>
      </c>
      <c r="M34" s="33">
        <f t="shared" si="18"/>
        <v>330.82</v>
      </c>
    </row>
    <row r="35" spans="1:13" x14ac:dyDescent="0.2">
      <c r="A35" s="13"/>
      <c r="B35" s="13"/>
      <c r="C35" s="16" t="s">
        <v>14</v>
      </c>
      <c r="D35" s="17">
        <f t="shared" ref="D35:M35" si="19">IF(ROUND(D33*1.5,2)&lt;$G$149,ROUND(D33*1.5,2),IF($G$149&lt;D33,D33,$G$149))</f>
        <v>18.18</v>
      </c>
      <c r="E35" s="17">
        <f t="shared" si="19"/>
        <v>18.78</v>
      </c>
      <c r="F35" s="17">
        <f t="shared" si="19"/>
        <v>19.38</v>
      </c>
      <c r="G35" s="17">
        <f t="shared" si="19"/>
        <v>20</v>
      </c>
      <c r="H35" s="17">
        <f t="shared" si="19"/>
        <v>20.6</v>
      </c>
      <c r="I35" s="17">
        <f t="shared" si="19"/>
        <v>21.21</v>
      </c>
      <c r="J35" s="17">
        <f t="shared" si="19"/>
        <v>21.81</v>
      </c>
      <c r="K35" s="17">
        <f t="shared" si="19"/>
        <v>22.41</v>
      </c>
      <c r="L35" s="17">
        <f t="shared" si="19"/>
        <v>23.03</v>
      </c>
      <c r="M35" s="17">
        <f t="shared" si="19"/>
        <v>23.63</v>
      </c>
    </row>
    <row r="36" spans="1:13" s="62" customFormat="1" x14ac:dyDescent="0.2">
      <c r="A36" s="61"/>
      <c r="B36" s="61"/>
      <c r="C36" s="32" t="s">
        <v>46</v>
      </c>
      <c r="D36" s="17">
        <f>(ROUND(D31*'Start Page'!$F$48,2)*80)+(ROUND(D33*'Start Page'!$F$48,2)*($B$15-80))</f>
        <v>0</v>
      </c>
      <c r="E36" s="17">
        <f>(ROUND(E31*'Start Page'!$F$48,2)*80)+(ROUND(E33*'Start Page'!$F$48,2)*($B$15-80))</f>
        <v>0</v>
      </c>
      <c r="F36" s="17">
        <f>(ROUND(F31*'Start Page'!$F$48,2)*80)+(ROUND(F33*'Start Page'!$F$48,2)*($B$15-80))</f>
        <v>0</v>
      </c>
      <c r="G36" s="17">
        <f>(ROUND(G31*'Start Page'!$F$48,2)*80)+(ROUND(G33*'Start Page'!$F$48,2)*($B$15-80))</f>
        <v>0</v>
      </c>
      <c r="H36" s="17">
        <f>(ROUND(H31*'Start Page'!$F$48,2)*80)+(ROUND(H33*'Start Page'!$F$48,2)*($B$15-80))</f>
        <v>0</v>
      </c>
      <c r="I36" s="17">
        <f>(ROUND(I31*'Start Page'!$F$48,2)*80)+(ROUND(I33*'Start Page'!$F$48,2)*($B$15-80))</f>
        <v>0</v>
      </c>
      <c r="J36" s="17">
        <f>(ROUND(J31*'Start Page'!$F$48,2)*80)+(ROUND(J33*'Start Page'!$F$48,2)*($B$15-80))</f>
        <v>0</v>
      </c>
      <c r="K36" s="17">
        <f>(ROUND(K31*'Start Page'!$F$48,2)*80)+(ROUND(K33*'Start Page'!$F$48,2)*($B$15-80))</f>
        <v>0</v>
      </c>
      <c r="L36" s="17">
        <f>(ROUND(L31*'Start Page'!$F$48,2)*80)+(ROUND(L33*'Start Page'!$F$48,2)*($B$15-80))</f>
        <v>0</v>
      </c>
      <c r="M36" s="17">
        <f>(ROUND(M31*'Start Page'!$F$48,2)*80)+(ROUND(M33*'Start Page'!$F$48,2)*($B$15-80))</f>
        <v>0</v>
      </c>
    </row>
    <row r="37" spans="1:13" x14ac:dyDescent="0.2">
      <c r="A37" s="13"/>
      <c r="B37" s="13">
        <f>B30+B32+B34</f>
        <v>120</v>
      </c>
      <c r="C37" s="20" t="s">
        <v>17</v>
      </c>
      <c r="D37" s="34">
        <f t="shared" ref="D37:M37" si="20">D30+D32+D34+D36</f>
        <v>1849.6399999999999</v>
      </c>
      <c r="E37" s="34">
        <f t="shared" si="20"/>
        <v>1910.8400000000001</v>
      </c>
      <c r="F37" s="34">
        <f t="shared" si="20"/>
        <v>1972.84</v>
      </c>
      <c r="G37" s="34">
        <f t="shared" si="20"/>
        <v>2034.58</v>
      </c>
      <c r="H37" s="34">
        <f t="shared" si="20"/>
        <v>2095.7799999999997</v>
      </c>
      <c r="I37" s="34">
        <f t="shared" si="20"/>
        <v>2158.1800000000003</v>
      </c>
      <c r="J37" s="34">
        <f t="shared" si="20"/>
        <v>2219.38</v>
      </c>
      <c r="K37" s="34">
        <f t="shared" si="20"/>
        <v>2281.38</v>
      </c>
      <c r="L37" s="34">
        <f t="shared" si="20"/>
        <v>2343.12</v>
      </c>
      <c r="M37" s="34">
        <f t="shared" si="20"/>
        <v>2404.3200000000002</v>
      </c>
    </row>
    <row r="38" spans="1:13" x14ac:dyDescent="0.2">
      <c r="A38" s="13"/>
      <c r="B38" s="13"/>
      <c r="C38" s="20" t="s">
        <v>33</v>
      </c>
      <c r="D38" s="34">
        <f>D37*'Start Page'!$C$65</f>
        <v>48090.64</v>
      </c>
      <c r="E38" s="34">
        <f>E37*'Start Page'!$C$65</f>
        <v>49681.840000000004</v>
      </c>
      <c r="F38" s="34">
        <f>F37*'Start Page'!$C$65</f>
        <v>51293.84</v>
      </c>
      <c r="G38" s="34">
        <f>G37*'Start Page'!$C$65</f>
        <v>52899.08</v>
      </c>
      <c r="H38" s="34">
        <f>H37*'Start Page'!$C$65</f>
        <v>54490.279999999992</v>
      </c>
      <c r="I38" s="34">
        <f>I37*'Start Page'!$C$65</f>
        <v>56112.680000000008</v>
      </c>
      <c r="J38" s="34">
        <f>J37*'Start Page'!$C$65</f>
        <v>57703.880000000005</v>
      </c>
      <c r="K38" s="34">
        <f>K37*'Start Page'!$C$65</f>
        <v>59315.880000000005</v>
      </c>
      <c r="L38" s="34">
        <f>L37*'Start Page'!$C$65</f>
        <v>60921.119999999995</v>
      </c>
      <c r="M38" s="34">
        <f>M37*'Start Page'!$C$65</f>
        <v>62512.320000000007</v>
      </c>
    </row>
    <row r="39" spans="1:13" s="36" customFormat="1" x14ac:dyDescent="0.2">
      <c r="A39" s="22"/>
      <c r="B39" s="22"/>
      <c r="C39" s="23" t="s">
        <v>71</v>
      </c>
      <c r="D39" s="35">
        <f>((D31*80)+(D33*($B$15-80)))*'Start Page'!$C$65</f>
        <v>45884.799999999996</v>
      </c>
      <c r="E39" s="35">
        <f>((E31*80)+(E33*($B$15-80)))*'Start Page'!$C$65</f>
        <v>47403.200000000004</v>
      </c>
      <c r="F39" s="35">
        <f>((F31*80)+(F33*($B$15-80)))*'Start Page'!$C$65</f>
        <v>48942.399999999994</v>
      </c>
      <c r="G39" s="35">
        <f>((G31*80)+(G33*($B$15-80)))*'Start Page'!$C$65</f>
        <v>50471.200000000004</v>
      </c>
      <c r="H39" s="35">
        <f>((H31*80)+(H33*($B$15-80)))*'Start Page'!$C$65</f>
        <v>51989.599999999999</v>
      </c>
      <c r="I39" s="35">
        <f>((I31*80)+(I33*($B$15-80)))*'Start Page'!$C$65</f>
        <v>53539.200000000004</v>
      </c>
      <c r="J39" s="35">
        <f>((J31*80)+(J33*($B$15-80)))*'Start Page'!$C$65</f>
        <v>55057.599999999999</v>
      </c>
      <c r="K39" s="35">
        <f>((K31*80)+(K33*($B$15-80)))*'Start Page'!$C$65</f>
        <v>56596.799999999996</v>
      </c>
      <c r="L39" s="35">
        <f>((L31*80)+(L33*($B$15-80)))*'Start Page'!$C$65</f>
        <v>58125.599999999999</v>
      </c>
      <c r="M39" s="121">
        <f>((M31*80)+(M33*($B$15-80)))*'Start Page'!$C$65</f>
        <v>59644</v>
      </c>
    </row>
    <row r="40" spans="1:13" x14ac:dyDescent="0.2">
      <c r="A40" s="13"/>
      <c r="B40" s="26"/>
      <c r="C40" s="14" t="s">
        <v>30</v>
      </c>
      <c r="D40" s="117">
        <f>'GS Pay Scale'!B12</f>
        <v>37223</v>
      </c>
      <c r="E40" s="117">
        <f>'GS Pay Scale'!C12</f>
        <v>38463</v>
      </c>
      <c r="F40" s="117">
        <f>'GS Pay Scale'!D12</f>
        <v>39703</v>
      </c>
      <c r="G40" s="117">
        <f>'GS Pay Scale'!E12</f>
        <v>40944</v>
      </c>
      <c r="H40" s="117">
        <f>'GS Pay Scale'!F12</f>
        <v>42184</v>
      </c>
      <c r="I40" s="117">
        <f>'GS Pay Scale'!G12</f>
        <v>43424</v>
      </c>
      <c r="J40" s="117">
        <f>'GS Pay Scale'!H12</f>
        <v>44664</v>
      </c>
      <c r="K40" s="117">
        <f>'GS Pay Scale'!I12</f>
        <v>45905</v>
      </c>
      <c r="L40" s="117">
        <f>'GS Pay Scale'!J12</f>
        <v>47145</v>
      </c>
      <c r="M40" s="117">
        <f>'GS Pay Scale'!K12</f>
        <v>48385</v>
      </c>
    </row>
    <row r="41" spans="1:13" x14ac:dyDescent="0.2">
      <c r="A41" s="13"/>
      <c r="B41" s="13">
        <v>80</v>
      </c>
      <c r="C41" s="32" t="s">
        <v>44</v>
      </c>
      <c r="D41" s="118">
        <f t="shared" ref="D41:M41" si="21">D42*80</f>
        <v>1427.2</v>
      </c>
      <c r="E41" s="118">
        <f t="shared" si="21"/>
        <v>1474.4</v>
      </c>
      <c r="F41" s="118">
        <f t="shared" si="21"/>
        <v>1521.6</v>
      </c>
      <c r="G41" s="118">
        <f t="shared" si="21"/>
        <v>1569.6000000000001</v>
      </c>
      <c r="H41" s="118">
        <f t="shared" si="21"/>
        <v>1616.8000000000002</v>
      </c>
      <c r="I41" s="118">
        <f t="shared" si="21"/>
        <v>1664.8</v>
      </c>
      <c r="J41" s="118">
        <f t="shared" si="21"/>
        <v>1712</v>
      </c>
      <c r="K41" s="118">
        <f t="shared" si="21"/>
        <v>1760</v>
      </c>
      <c r="L41" s="118">
        <f t="shared" si="21"/>
        <v>1807.2</v>
      </c>
      <c r="M41" s="118">
        <f t="shared" si="21"/>
        <v>1854.4</v>
      </c>
    </row>
    <row r="42" spans="1:13" x14ac:dyDescent="0.2">
      <c r="A42" s="13"/>
      <c r="B42" s="13"/>
      <c r="C42" s="32" t="s">
        <v>20</v>
      </c>
      <c r="D42" s="33">
        <f t="shared" ref="D42:M42" si="22">ROUND(D40/2087,2)</f>
        <v>17.84</v>
      </c>
      <c r="E42" s="33">
        <f t="shared" si="22"/>
        <v>18.43</v>
      </c>
      <c r="F42" s="33">
        <f t="shared" si="22"/>
        <v>19.02</v>
      </c>
      <c r="G42" s="33">
        <f t="shared" si="22"/>
        <v>19.62</v>
      </c>
      <c r="H42" s="33">
        <f t="shared" si="22"/>
        <v>20.21</v>
      </c>
      <c r="I42" s="33">
        <f t="shared" si="22"/>
        <v>20.81</v>
      </c>
      <c r="J42" s="33">
        <f t="shared" si="22"/>
        <v>21.4</v>
      </c>
      <c r="K42" s="33">
        <f t="shared" si="22"/>
        <v>22</v>
      </c>
      <c r="L42" s="33">
        <f t="shared" si="22"/>
        <v>22.59</v>
      </c>
      <c r="M42" s="33">
        <f t="shared" si="22"/>
        <v>23.18</v>
      </c>
    </row>
    <row r="43" spans="1:13" x14ac:dyDescent="0.2">
      <c r="A43" s="13"/>
      <c r="B43" s="13">
        <v>26</v>
      </c>
      <c r="C43" s="16" t="s">
        <v>41</v>
      </c>
      <c r="D43" s="33">
        <f t="shared" ref="D43:M43" si="23">D44*26</f>
        <v>351.26</v>
      </c>
      <c r="E43" s="33">
        <f t="shared" si="23"/>
        <v>362.96000000000004</v>
      </c>
      <c r="F43" s="33">
        <f t="shared" si="23"/>
        <v>374.66</v>
      </c>
      <c r="G43" s="33">
        <f t="shared" si="23"/>
        <v>386.36</v>
      </c>
      <c r="H43" s="33">
        <f t="shared" si="23"/>
        <v>398.06</v>
      </c>
      <c r="I43" s="33">
        <f t="shared" si="23"/>
        <v>409.76</v>
      </c>
      <c r="J43" s="33">
        <f t="shared" si="23"/>
        <v>421.46000000000004</v>
      </c>
      <c r="K43" s="33">
        <f t="shared" si="23"/>
        <v>433.16</v>
      </c>
      <c r="L43" s="33">
        <f t="shared" si="23"/>
        <v>444.86</v>
      </c>
      <c r="M43" s="33">
        <f t="shared" si="23"/>
        <v>456.55999999999995</v>
      </c>
    </row>
    <row r="44" spans="1:13" x14ac:dyDescent="0.2">
      <c r="A44" s="13"/>
      <c r="B44" s="13"/>
      <c r="C44" s="16" t="s">
        <v>13</v>
      </c>
      <c r="D44" s="33">
        <f t="shared" ref="D44:M44" si="24">ROUND(D40/2756,2)</f>
        <v>13.51</v>
      </c>
      <c r="E44" s="33">
        <f t="shared" si="24"/>
        <v>13.96</v>
      </c>
      <c r="F44" s="33">
        <f t="shared" si="24"/>
        <v>14.41</v>
      </c>
      <c r="G44" s="33">
        <f t="shared" si="24"/>
        <v>14.86</v>
      </c>
      <c r="H44" s="33">
        <f t="shared" si="24"/>
        <v>15.31</v>
      </c>
      <c r="I44" s="33">
        <f t="shared" si="24"/>
        <v>15.76</v>
      </c>
      <c r="J44" s="33">
        <f t="shared" si="24"/>
        <v>16.21</v>
      </c>
      <c r="K44" s="33">
        <f t="shared" si="24"/>
        <v>16.66</v>
      </c>
      <c r="L44" s="33">
        <f t="shared" si="24"/>
        <v>17.11</v>
      </c>
      <c r="M44" s="33">
        <f t="shared" si="24"/>
        <v>17.559999999999999</v>
      </c>
    </row>
    <row r="45" spans="1:13" x14ac:dyDescent="0.2">
      <c r="A45" s="13" t="s">
        <v>18</v>
      </c>
      <c r="B45" s="19">
        <f>($G$3-53)*2</f>
        <v>14</v>
      </c>
      <c r="C45" s="16" t="s">
        <v>42</v>
      </c>
      <c r="D45" s="33">
        <f t="shared" ref="D45:M45" si="25">D46*$B$12</f>
        <v>283.77999999999997</v>
      </c>
      <c r="E45" s="33">
        <f t="shared" si="25"/>
        <v>293.16000000000003</v>
      </c>
      <c r="F45" s="33">
        <f t="shared" si="25"/>
        <v>302.68</v>
      </c>
      <c r="G45" s="33">
        <f t="shared" si="25"/>
        <v>312.06</v>
      </c>
      <c r="H45" s="33">
        <f t="shared" si="25"/>
        <v>321.58</v>
      </c>
      <c r="I45" s="33">
        <f t="shared" si="25"/>
        <v>330.96000000000004</v>
      </c>
      <c r="J45" s="33">
        <f t="shared" si="25"/>
        <v>340.48</v>
      </c>
      <c r="K45" s="33">
        <f t="shared" si="25"/>
        <v>349.85999999999996</v>
      </c>
      <c r="L45" s="33">
        <f t="shared" si="25"/>
        <v>359.38</v>
      </c>
      <c r="M45" s="33">
        <f t="shared" si="25"/>
        <v>368.76</v>
      </c>
    </row>
    <row r="46" spans="1:13" x14ac:dyDescent="0.2">
      <c r="A46" s="13"/>
      <c r="B46" s="13"/>
      <c r="C46" s="16" t="s">
        <v>14</v>
      </c>
      <c r="D46" s="17">
        <f t="shared" ref="D46:M46" si="26">IF(ROUND(D44*1.5,2)&lt;$G$149,ROUND(D44*1.5,2),IF($G$149&lt;D44,D44,$G$149))</f>
        <v>20.27</v>
      </c>
      <c r="E46" s="17">
        <f t="shared" si="26"/>
        <v>20.94</v>
      </c>
      <c r="F46" s="17">
        <f t="shared" si="26"/>
        <v>21.62</v>
      </c>
      <c r="G46" s="17">
        <f t="shared" si="26"/>
        <v>22.29</v>
      </c>
      <c r="H46" s="17">
        <f t="shared" si="26"/>
        <v>22.97</v>
      </c>
      <c r="I46" s="17">
        <f t="shared" si="26"/>
        <v>23.64</v>
      </c>
      <c r="J46" s="17">
        <f t="shared" si="26"/>
        <v>24.32</v>
      </c>
      <c r="K46" s="17">
        <f t="shared" si="26"/>
        <v>24.99</v>
      </c>
      <c r="L46" s="17">
        <f t="shared" si="26"/>
        <v>25.67</v>
      </c>
      <c r="M46" s="17">
        <f t="shared" si="26"/>
        <v>26.34</v>
      </c>
    </row>
    <row r="47" spans="1:13" s="62" customFormat="1" x14ac:dyDescent="0.2">
      <c r="A47" s="61"/>
      <c r="B47" s="61"/>
      <c r="C47" s="32" t="s">
        <v>46</v>
      </c>
      <c r="D47" s="17">
        <f>(ROUND(D42*'Start Page'!$F$48,2)*80)+(ROUND(D44*'Start Page'!$F$48,2)*($B$15-80))</f>
        <v>0</v>
      </c>
      <c r="E47" s="17">
        <f>(ROUND(E42*'Start Page'!$F$48,2)*80)+(ROUND(E44*'Start Page'!$F$48,2)*($B$15-80))</f>
        <v>0</v>
      </c>
      <c r="F47" s="17">
        <f>(ROUND(F42*'Start Page'!$F$48,2)*80)+(ROUND(F44*'Start Page'!$F$48,2)*($B$15-80))</f>
        <v>0</v>
      </c>
      <c r="G47" s="17">
        <f>(ROUND(G42*'Start Page'!$F$48,2)*80)+(ROUND(G44*'Start Page'!$F$48,2)*($B$15-80))</f>
        <v>0</v>
      </c>
      <c r="H47" s="17">
        <f>(ROUND(H42*'Start Page'!$F$48,2)*80)+(ROUND(H44*'Start Page'!$F$48,2)*($B$15-80))</f>
        <v>0</v>
      </c>
      <c r="I47" s="17">
        <f>(ROUND(I42*'Start Page'!$F$48,2)*80)+(ROUND(I44*'Start Page'!$F$48,2)*($B$15-80))</f>
        <v>0</v>
      </c>
      <c r="J47" s="17">
        <f>(ROUND(J42*'Start Page'!$F$48,2)*80)+(ROUND(J44*'Start Page'!$F$48,2)*($B$15-80))</f>
        <v>0</v>
      </c>
      <c r="K47" s="17">
        <f>(ROUND(K42*'Start Page'!$F$48,2)*80)+(ROUND(K44*'Start Page'!$F$48,2)*($B$15-80))</f>
        <v>0</v>
      </c>
      <c r="L47" s="17">
        <f>(ROUND(L42*'Start Page'!$F$48,2)*80)+(ROUND(L44*'Start Page'!$F$48,2)*($B$15-80))</f>
        <v>0</v>
      </c>
      <c r="M47" s="17">
        <f>(ROUND(M42*'Start Page'!$F$48,2)*80)+(ROUND(M44*'Start Page'!$F$48,2)*($B$15-80))</f>
        <v>0</v>
      </c>
    </row>
    <row r="48" spans="1:13" x14ac:dyDescent="0.2">
      <c r="A48" s="13"/>
      <c r="B48" s="13">
        <f>B41+B43+B45</f>
        <v>120</v>
      </c>
      <c r="C48" s="20" t="s">
        <v>17</v>
      </c>
      <c r="D48" s="34">
        <f t="shared" ref="D48:M48" si="27">D41+D43+D45+D47</f>
        <v>2062.2399999999998</v>
      </c>
      <c r="E48" s="34">
        <f t="shared" si="27"/>
        <v>2130.52</v>
      </c>
      <c r="F48" s="34">
        <f t="shared" si="27"/>
        <v>2198.94</v>
      </c>
      <c r="G48" s="34">
        <f t="shared" si="27"/>
        <v>2268.02</v>
      </c>
      <c r="H48" s="34">
        <f t="shared" si="27"/>
        <v>2336.44</v>
      </c>
      <c r="I48" s="34">
        <f t="shared" si="27"/>
        <v>2405.52</v>
      </c>
      <c r="J48" s="34">
        <f t="shared" si="27"/>
        <v>2473.94</v>
      </c>
      <c r="K48" s="34">
        <f t="shared" si="27"/>
        <v>2543.02</v>
      </c>
      <c r="L48" s="34">
        <f t="shared" si="27"/>
        <v>2611.44</v>
      </c>
      <c r="M48" s="34">
        <f t="shared" si="27"/>
        <v>2679.7200000000003</v>
      </c>
    </row>
    <row r="49" spans="1:13" x14ac:dyDescent="0.2">
      <c r="A49" s="13"/>
      <c r="B49" s="13"/>
      <c r="C49" s="20" t="s">
        <v>33</v>
      </c>
      <c r="D49" s="34">
        <f>D48*'Start Page'!$C$65</f>
        <v>53618.239999999991</v>
      </c>
      <c r="E49" s="34">
        <f>E48*'Start Page'!$C$65</f>
        <v>55393.52</v>
      </c>
      <c r="F49" s="34">
        <f>F48*'Start Page'!$C$65</f>
        <v>57172.44</v>
      </c>
      <c r="G49" s="34">
        <f>G48*'Start Page'!$C$65</f>
        <v>58968.52</v>
      </c>
      <c r="H49" s="34">
        <f>H48*'Start Page'!$C$65</f>
        <v>60747.44</v>
      </c>
      <c r="I49" s="34">
        <f>I48*'Start Page'!$C$65</f>
        <v>62543.519999999997</v>
      </c>
      <c r="J49" s="34">
        <f>J48*'Start Page'!$C$65</f>
        <v>64322.44</v>
      </c>
      <c r="K49" s="34">
        <f>K48*'Start Page'!$C$65</f>
        <v>66118.52</v>
      </c>
      <c r="L49" s="34">
        <f>L48*'Start Page'!$C$65</f>
        <v>67897.440000000002</v>
      </c>
      <c r="M49" s="34">
        <f>M48*'Start Page'!$C$65</f>
        <v>69672.72</v>
      </c>
    </row>
    <row r="50" spans="1:13" s="36" customFormat="1" x14ac:dyDescent="0.2">
      <c r="A50" s="22"/>
      <c r="B50" s="22"/>
      <c r="C50" s="23" t="s">
        <v>71</v>
      </c>
      <c r="D50" s="35">
        <f>((D42*80)+(D44*($B$15-80)))*'Start Page'!$C$65</f>
        <v>51157.599999999999</v>
      </c>
      <c r="E50" s="35">
        <f>((E42*80)+(E44*($B$15-80)))*'Start Page'!$C$65</f>
        <v>52852.800000000003</v>
      </c>
      <c r="F50" s="35">
        <f>((F42*80)+(F44*($B$15-80)))*'Start Page'!$C$65</f>
        <v>54548</v>
      </c>
      <c r="G50" s="35">
        <f>((G42*80)+(G44*($B$15-80)))*'Start Page'!$C$65</f>
        <v>56264</v>
      </c>
      <c r="H50" s="35">
        <f>((H42*80)+(H44*($B$15-80)))*'Start Page'!$C$65</f>
        <v>57959.200000000004</v>
      </c>
      <c r="I50" s="35">
        <f>((I42*80)+(I44*($B$15-80)))*'Start Page'!$C$65</f>
        <v>59675.199999999997</v>
      </c>
      <c r="J50" s="35">
        <f>((J42*80)+(J44*($B$15-80)))*'Start Page'!$C$65</f>
        <v>61370.400000000001</v>
      </c>
      <c r="K50" s="35">
        <f>((K42*80)+(K44*($B$15-80)))*'Start Page'!$C$65</f>
        <v>63086.400000000001</v>
      </c>
      <c r="L50" s="35">
        <f>((L42*80)+(L44*($B$15-80)))*'Start Page'!$C$65</f>
        <v>64781.599999999999</v>
      </c>
      <c r="M50" s="121">
        <f>((M42*80)+(M44*($B$15-80)))*'Start Page'!$C$65</f>
        <v>66476.800000000003</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41365</v>
      </c>
      <c r="E52" s="118">
        <f>'GS Pay Scale'!C13</f>
        <v>42743</v>
      </c>
      <c r="F52" s="118">
        <f>'GS Pay Scale'!D13</f>
        <v>44122</v>
      </c>
      <c r="G52" s="118">
        <f>'GS Pay Scale'!E13</f>
        <v>45501</v>
      </c>
      <c r="H52" s="118">
        <f>'GS Pay Scale'!F13</f>
        <v>46879</v>
      </c>
      <c r="I52" s="118">
        <f>'GS Pay Scale'!G13</f>
        <v>48258</v>
      </c>
      <c r="J52" s="118">
        <f>'GS Pay Scale'!H13</f>
        <v>49637</v>
      </c>
      <c r="K52" s="118">
        <f>'GS Pay Scale'!I13</f>
        <v>51015</v>
      </c>
      <c r="L52" s="118">
        <f>'GS Pay Scale'!J13</f>
        <v>52394</v>
      </c>
      <c r="M52" s="118">
        <f>'GS Pay Scale'!K13</f>
        <v>53773</v>
      </c>
    </row>
    <row r="53" spans="1:13" x14ac:dyDescent="0.2">
      <c r="A53" s="13"/>
      <c r="B53" s="13">
        <v>80</v>
      </c>
      <c r="C53" s="32" t="s">
        <v>44</v>
      </c>
      <c r="D53" s="118">
        <f t="shared" ref="D53:M53" si="28">D54*80</f>
        <v>1585.6</v>
      </c>
      <c r="E53" s="118">
        <f t="shared" si="28"/>
        <v>1638.4</v>
      </c>
      <c r="F53" s="118">
        <f t="shared" si="28"/>
        <v>1691.2</v>
      </c>
      <c r="G53" s="118">
        <f t="shared" si="28"/>
        <v>1744</v>
      </c>
      <c r="H53" s="118">
        <f t="shared" si="28"/>
        <v>1796.8000000000002</v>
      </c>
      <c r="I53" s="118">
        <f t="shared" si="28"/>
        <v>1849.6000000000001</v>
      </c>
      <c r="J53" s="118">
        <f t="shared" si="28"/>
        <v>1902.4</v>
      </c>
      <c r="K53" s="118">
        <f t="shared" si="28"/>
        <v>1955.2</v>
      </c>
      <c r="L53" s="118">
        <f t="shared" si="28"/>
        <v>2008</v>
      </c>
      <c r="M53" s="118">
        <f t="shared" si="28"/>
        <v>2061.6</v>
      </c>
    </row>
    <row r="54" spans="1:13" x14ac:dyDescent="0.2">
      <c r="A54" s="13"/>
      <c r="B54" s="13"/>
      <c r="C54" s="32" t="s">
        <v>20</v>
      </c>
      <c r="D54" s="33">
        <f>ROUND(D52/2087,2)</f>
        <v>19.82</v>
      </c>
      <c r="E54" s="33">
        <f t="shared" ref="E54:M54" si="29">ROUND(E52/2087,2)</f>
        <v>20.48</v>
      </c>
      <c r="F54" s="33">
        <f t="shared" si="29"/>
        <v>21.14</v>
      </c>
      <c r="G54" s="33">
        <f t="shared" si="29"/>
        <v>21.8</v>
      </c>
      <c r="H54" s="33">
        <f t="shared" si="29"/>
        <v>22.46</v>
      </c>
      <c r="I54" s="33">
        <f t="shared" si="29"/>
        <v>23.12</v>
      </c>
      <c r="J54" s="33">
        <f t="shared" si="29"/>
        <v>23.78</v>
      </c>
      <c r="K54" s="33">
        <f t="shared" si="29"/>
        <v>24.44</v>
      </c>
      <c r="L54" s="33">
        <f t="shared" si="29"/>
        <v>25.1</v>
      </c>
      <c r="M54" s="33">
        <f t="shared" si="29"/>
        <v>25.77</v>
      </c>
    </row>
    <row r="55" spans="1:13" x14ac:dyDescent="0.2">
      <c r="A55" s="13"/>
      <c r="B55" s="13">
        <v>26</v>
      </c>
      <c r="C55" s="16" t="s">
        <v>41</v>
      </c>
      <c r="D55" s="33">
        <f t="shared" ref="D55:M55" si="30">D56*26</f>
        <v>390.26</v>
      </c>
      <c r="E55" s="33">
        <f t="shared" si="30"/>
        <v>403.26</v>
      </c>
      <c r="F55" s="33">
        <f t="shared" si="30"/>
        <v>416.26000000000005</v>
      </c>
      <c r="G55" s="33">
        <f t="shared" si="30"/>
        <v>429.26000000000005</v>
      </c>
      <c r="H55" s="33">
        <f t="shared" si="30"/>
        <v>442.26000000000005</v>
      </c>
      <c r="I55" s="33">
        <f t="shared" si="30"/>
        <v>455.26000000000005</v>
      </c>
      <c r="J55" s="33">
        <f t="shared" si="30"/>
        <v>468.26000000000005</v>
      </c>
      <c r="K55" s="33">
        <f t="shared" si="30"/>
        <v>481.26000000000005</v>
      </c>
      <c r="L55" s="33">
        <f t="shared" si="30"/>
        <v>494.26000000000005</v>
      </c>
      <c r="M55" s="33">
        <f t="shared" si="30"/>
        <v>507.26000000000005</v>
      </c>
    </row>
    <row r="56" spans="1:13" x14ac:dyDescent="0.2">
      <c r="A56" s="13"/>
      <c r="B56" s="13"/>
      <c r="C56" s="16" t="s">
        <v>13</v>
      </c>
      <c r="D56" s="33">
        <f>ROUND(D52/2756,2)</f>
        <v>15.01</v>
      </c>
      <c r="E56" s="33">
        <f t="shared" ref="E56:M56" si="31">ROUND(E52/2756,2)</f>
        <v>15.51</v>
      </c>
      <c r="F56" s="33">
        <f t="shared" si="31"/>
        <v>16.010000000000002</v>
      </c>
      <c r="G56" s="33">
        <f t="shared" si="31"/>
        <v>16.510000000000002</v>
      </c>
      <c r="H56" s="33">
        <f t="shared" si="31"/>
        <v>17.010000000000002</v>
      </c>
      <c r="I56" s="33">
        <f t="shared" si="31"/>
        <v>17.510000000000002</v>
      </c>
      <c r="J56" s="33">
        <f t="shared" si="31"/>
        <v>18.010000000000002</v>
      </c>
      <c r="K56" s="33">
        <f t="shared" si="31"/>
        <v>18.510000000000002</v>
      </c>
      <c r="L56" s="33">
        <f t="shared" si="31"/>
        <v>19.010000000000002</v>
      </c>
      <c r="M56" s="33">
        <f t="shared" si="31"/>
        <v>19.510000000000002</v>
      </c>
    </row>
    <row r="57" spans="1:13" x14ac:dyDescent="0.2">
      <c r="A57" s="13" t="s">
        <v>12</v>
      </c>
      <c r="B57" s="19">
        <f>($G$3-53)*2</f>
        <v>14</v>
      </c>
      <c r="C57" s="16" t="s">
        <v>42</v>
      </c>
      <c r="D57" s="33">
        <f t="shared" ref="D57:M57" si="32">D58*$B$12</f>
        <v>315.27999999999997</v>
      </c>
      <c r="E57" s="33">
        <f t="shared" si="32"/>
        <v>325.77999999999997</v>
      </c>
      <c r="F57" s="33">
        <f t="shared" si="32"/>
        <v>336.28</v>
      </c>
      <c r="G57" s="33">
        <f t="shared" si="32"/>
        <v>346.78</v>
      </c>
      <c r="H57" s="33">
        <f t="shared" si="32"/>
        <v>357.28</v>
      </c>
      <c r="I57" s="33">
        <f t="shared" si="32"/>
        <v>367.78</v>
      </c>
      <c r="J57" s="33">
        <f t="shared" si="32"/>
        <v>378.28</v>
      </c>
      <c r="K57" s="33">
        <f t="shared" si="32"/>
        <v>388.78</v>
      </c>
      <c r="L57" s="33">
        <f t="shared" si="32"/>
        <v>399.28</v>
      </c>
      <c r="M57" s="33">
        <f t="shared" si="32"/>
        <v>409.78</v>
      </c>
    </row>
    <row r="58" spans="1:13" x14ac:dyDescent="0.2">
      <c r="A58" s="13"/>
      <c r="B58" s="13"/>
      <c r="C58" s="16" t="s">
        <v>14</v>
      </c>
      <c r="D58" s="17">
        <f>IF(ROUND(D56*1.5,2)&lt;$G$149,ROUND(D56*1.5,2),IF($G$149&lt;D56,D56,$G$149))</f>
        <v>22.52</v>
      </c>
      <c r="E58" s="17">
        <f t="shared" ref="E58:M58" si="33">IF(ROUND(E56*1.5,2)&lt;$G$149,ROUND(E56*1.5,2),IF($G$149&lt;E56,E56,$G$149))</f>
        <v>23.27</v>
      </c>
      <c r="F58" s="17">
        <f t="shared" si="33"/>
        <v>24.02</v>
      </c>
      <c r="G58" s="17">
        <f t="shared" si="33"/>
        <v>24.77</v>
      </c>
      <c r="H58" s="17">
        <f t="shared" si="33"/>
        <v>25.52</v>
      </c>
      <c r="I58" s="17">
        <f t="shared" si="33"/>
        <v>26.27</v>
      </c>
      <c r="J58" s="17">
        <f t="shared" si="33"/>
        <v>27.02</v>
      </c>
      <c r="K58" s="17">
        <f t="shared" si="33"/>
        <v>27.77</v>
      </c>
      <c r="L58" s="17">
        <f t="shared" si="33"/>
        <v>28.52</v>
      </c>
      <c r="M58" s="17">
        <f t="shared" si="33"/>
        <v>29.27</v>
      </c>
    </row>
    <row r="59" spans="1:13" s="62" customFormat="1" x14ac:dyDescent="0.2">
      <c r="A59" s="61"/>
      <c r="B59" s="61"/>
      <c r="C59" s="32" t="s">
        <v>46</v>
      </c>
      <c r="D59" s="17">
        <f>(ROUND(D54*'Start Page'!$F$48,2)*80)+(ROUND(D56*'Start Page'!$F$48,2)*($B$15-80))</f>
        <v>0</v>
      </c>
      <c r="E59" s="17">
        <f>(ROUND(E54*'Start Page'!$F$48,2)*80)+(ROUND(E56*'Start Page'!$F$48,2)*($B$15-80))</f>
        <v>0</v>
      </c>
      <c r="F59" s="17">
        <f>(ROUND(F54*'Start Page'!$F$48,2)*80)+(ROUND(F56*'Start Page'!$F$48,2)*($B$15-80))</f>
        <v>0</v>
      </c>
      <c r="G59" s="17">
        <f>(ROUND(G54*'Start Page'!$F$48,2)*80)+(ROUND(G56*'Start Page'!$F$48,2)*($B$15-80))</f>
        <v>0</v>
      </c>
      <c r="H59" s="17">
        <f>(ROUND(H54*'Start Page'!$F$48,2)*80)+(ROUND(H56*'Start Page'!$F$48,2)*($B$15-80))</f>
        <v>0</v>
      </c>
      <c r="I59" s="17">
        <f>(ROUND(I54*'Start Page'!$F$48,2)*80)+(ROUND(I56*'Start Page'!$F$48,2)*($B$15-80))</f>
        <v>0</v>
      </c>
      <c r="J59" s="17">
        <f>(ROUND(J54*'Start Page'!$F$48,2)*80)+(ROUND(J56*'Start Page'!$F$48,2)*($B$15-80))</f>
        <v>0</v>
      </c>
      <c r="K59" s="17">
        <f>(ROUND(K54*'Start Page'!$F$48,2)*80)+(ROUND(K56*'Start Page'!$F$48,2)*($B$15-80))</f>
        <v>0</v>
      </c>
      <c r="L59" s="17">
        <f>(ROUND(L54*'Start Page'!$F$48,2)*80)+(ROUND(L56*'Start Page'!$F$48,2)*($B$15-80))</f>
        <v>0</v>
      </c>
      <c r="M59" s="17">
        <f>(ROUND(M54*'Start Page'!$F$48,2)*80)+(ROUND(M56*'Start Page'!$F$48,2)*($B$15-80))</f>
        <v>0</v>
      </c>
    </row>
    <row r="60" spans="1:13" x14ac:dyDescent="0.2">
      <c r="A60" s="13"/>
      <c r="B60" s="13">
        <f>B53+B55+B57</f>
        <v>120</v>
      </c>
      <c r="C60" s="20" t="s">
        <v>17</v>
      </c>
      <c r="D60" s="34">
        <f t="shared" ref="D60:M60" si="34">D53+D55+D57+D59</f>
        <v>2291.14</v>
      </c>
      <c r="E60" s="34">
        <f t="shared" si="34"/>
        <v>2367.44</v>
      </c>
      <c r="F60" s="34">
        <f t="shared" si="34"/>
        <v>2443.7399999999998</v>
      </c>
      <c r="G60" s="34">
        <f t="shared" si="34"/>
        <v>2520.04</v>
      </c>
      <c r="H60" s="34">
        <f t="shared" si="34"/>
        <v>2596.34</v>
      </c>
      <c r="I60" s="34">
        <f t="shared" si="34"/>
        <v>2672.6400000000003</v>
      </c>
      <c r="J60" s="34">
        <f t="shared" si="34"/>
        <v>2748.9400000000005</v>
      </c>
      <c r="K60" s="34">
        <f t="shared" si="34"/>
        <v>2825.24</v>
      </c>
      <c r="L60" s="34">
        <f t="shared" si="34"/>
        <v>2901.54</v>
      </c>
      <c r="M60" s="34">
        <f t="shared" si="34"/>
        <v>2978.6400000000003</v>
      </c>
    </row>
    <row r="61" spans="1:13" x14ac:dyDescent="0.2">
      <c r="A61" s="13"/>
      <c r="B61" s="13"/>
      <c r="C61" s="20" t="s">
        <v>33</v>
      </c>
      <c r="D61" s="34">
        <f>D60*'Start Page'!$C$65</f>
        <v>59569.64</v>
      </c>
      <c r="E61" s="34">
        <f>E60*'Start Page'!$C$65</f>
        <v>61553.440000000002</v>
      </c>
      <c r="F61" s="34">
        <f>F60*'Start Page'!$C$65</f>
        <v>63537.239999999991</v>
      </c>
      <c r="G61" s="34">
        <f>G60*'Start Page'!$C$65</f>
        <v>65521.04</v>
      </c>
      <c r="H61" s="34">
        <f>H60*'Start Page'!$C$65</f>
        <v>67504.84</v>
      </c>
      <c r="I61" s="34">
        <f>I60*'Start Page'!$C$65</f>
        <v>69488.640000000014</v>
      </c>
      <c r="J61" s="34">
        <f>J60*'Start Page'!$C$65</f>
        <v>71472.440000000017</v>
      </c>
      <c r="K61" s="34">
        <f>K60*'Start Page'!$C$65</f>
        <v>73456.239999999991</v>
      </c>
      <c r="L61" s="34">
        <f>L60*'Start Page'!$C$65</f>
        <v>75440.039999999994</v>
      </c>
      <c r="M61" s="34">
        <f>M60*'Start Page'!$C$65</f>
        <v>77444.640000000014</v>
      </c>
    </row>
    <row r="62" spans="1:13" s="36" customFormat="1" x14ac:dyDescent="0.2">
      <c r="A62" s="22"/>
      <c r="B62" s="22"/>
      <c r="C62" s="23" t="s">
        <v>71</v>
      </c>
      <c r="D62" s="35">
        <f>((D54*80)+(D56*($B$15-80)))*'Start Page'!$C$65</f>
        <v>56836</v>
      </c>
      <c r="E62" s="35">
        <f>((E54*80)+(E56*($B$15-80)))*'Start Page'!$C$65</f>
        <v>58728.800000000003</v>
      </c>
      <c r="F62" s="35">
        <f>((F54*80)+(F56*($B$15-80)))*'Start Page'!$C$65</f>
        <v>60621.600000000006</v>
      </c>
      <c r="G62" s="35">
        <f>((G54*80)+(G56*($B$15-80)))*'Start Page'!$C$65</f>
        <v>62514.400000000001</v>
      </c>
      <c r="H62" s="35">
        <f>((H54*80)+(H56*($B$15-80)))*'Start Page'!$C$65</f>
        <v>64407.200000000004</v>
      </c>
      <c r="I62" s="35">
        <f>((I54*80)+(I56*($B$15-80)))*'Start Page'!$C$65</f>
        <v>66300</v>
      </c>
      <c r="J62" s="35">
        <f>((J54*80)+(J56*($B$15-80)))*'Start Page'!$C$65</f>
        <v>68192.800000000003</v>
      </c>
      <c r="K62" s="35">
        <f>((K54*80)+(K56*($B$15-80)))*'Start Page'!$C$65</f>
        <v>70085.600000000006</v>
      </c>
      <c r="L62" s="35">
        <f>((L54*80)+(L56*($B$15-80)))*'Start Page'!$C$65</f>
        <v>71978.400000000009</v>
      </c>
      <c r="M62" s="121">
        <f>((M54*80)+(M56*($B$15-80)))*'Start Page'!$C$65</f>
        <v>73892</v>
      </c>
    </row>
    <row r="63" spans="1:13" x14ac:dyDescent="0.2">
      <c r="A63" s="26"/>
      <c r="B63" s="26"/>
      <c r="C63" s="14" t="s">
        <v>30</v>
      </c>
      <c r="D63" s="118">
        <f>'GS Pay Scale'!B14</f>
        <v>45810</v>
      </c>
      <c r="E63" s="118">
        <f>'GS Pay Scale'!C14</f>
        <v>47337</v>
      </c>
      <c r="F63" s="118">
        <f>'GS Pay Scale'!D14</f>
        <v>48865</v>
      </c>
      <c r="G63" s="118">
        <f>'GS Pay Scale'!E14</f>
        <v>50392</v>
      </c>
      <c r="H63" s="118">
        <f>'GS Pay Scale'!F14</f>
        <v>51920</v>
      </c>
      <c r="I63" s="118">
        <f>'GS Pay Scale'!G14</f>
        <v>53447</v>
      </c>
      <c r="J63" s="118">
        <f>'GS Pay Scale'!H14</f>
        <v>54975</v>
      </c>
      <c r="K63" s="118">
        <f>'GS Pay Scale'!I14</f>
        <v>56502</v>
      </c>
      <c r="L63" s="118">
        <f>'GS Pay Scale'!J14</f>
        <v>58030</v>
      </c>
      <c r="M63" s="118">
        <f>'GS Pay Scale'!K14</f>
        <v>59557</v>
      </c>
    </row>
    <row r="64" spans="1:13" x14ac:dyDescent="0.2">
      <c r="A64" s="13"/>
      <c r="B64" s="13">
        <v>80</v>
      </c>
      <c r="C64" s="32" t="s">
        <v>44</v>
      </c>
      <c r="D64" s="118">
        <f t="shared" ref="D64:M64" si="35">D65*80</f>
        <v>1756</v>
      </c>
      <c r="E64" s="118">
        <f t="shared" si="35"/>
        <v>1814.4</v>
      </c>
      <c r="F64" s="118">
        <f t="shared" si="35"/>
        <v>1872.8</v>
      </c>
      <c r="G64" s="118">
        <f t="shared" si="35"/>
        <v>1932</v>
      </c>
      <c r="H64" s="118">
        <f t="shared" si="35"/>
        <v>1990.3999999999999</v>
      </c>
      <c r="I64" s="118">
        <f t="shared" si="35"/>
        <v>2048.8000000000002</v>
      </c>
      <c r="J64" s="118">
        <f t="shared" si="35"/>
        <v>2107.1999999999998</v>
      </c>
      <c r="K64" s="118">
        <f t="shared" si="35"/>
        <v>2165.6</v>
      </c>
      <c r="L64" s="118">
        <f t="shared" si="35"/>
        <v>2224.7999999999997</v>
      </c>
      <c r="M64" s="118">
        <f t="shared" si="35"/>
        <v>2283.1999999999998</v>
      </c>
    </row>
    <row r="65" spans="1:13" x14ac:dyDescent="0.2">
      <c r="A65" s="13"/>
      <c r="B65" s="13"/>
      <c r="C65" s="32" t="s">
        <v>20</v>
      </c>
      <c r="D65" s="33">
        <f t="shared" ref="D65:M65" si="36">ROUND(D63/2087,2)</f>
        <v>21.95</v>
      </c>
      <c r="E65" s="33">
        <f t="shared" si="36"/>
        <v>22.68</v>
      </c>
      <c r="F65" s="33">
        <f t="shared" si="36"/>
        <v>23.41</v>
      </c>
      <c r="G65" s="33">
        <f t="shared" si="36"/>
        <v>24.15</v>
      </c>
      <c r="H65" s="33">
        <f t="shared" si="36"/>
        <v>24.88</v>
      </c>
      <c r="I65" s="33">
        <f t="shared" si="36"/>
        <v>25.61</v>
      </c>
      <c r="J65" s="33">
        <f t="shared" si="36"/>
        <v>26.34</v>
      </c>
      <c r="K65" s="33">
        <f t="shared" si="36"/>
        <v>27.07</v>
      </c>
      <c r="L65" s="33">
        <f t="shared" si="36"/>
        <v>27.81</v>
      </c>
      <c r="M65" s="33">
        <f t="shared" si="36"/>
        <v>28.54</v>
      </c>
    </row>
    <row r="66" spans="1:13" x14ac:dyDescent="0.2">
      <c r="A66" s="13"/>
      <c r="B66" s="13">
        <v>26</v>
      </c>
      <c r="C66" s="16" t="s">
        <v>41</v>
      </c>
      <c r="D66" s="33">
        <f t="shared" ref="D66:M66" si="37">D67*26</f>
        <v>432.12</v>
      </c>
      <c r="E66" s="33">
        <f t="shared" si="37"/>
        <v>446.68</v>
      </c>
      <c r="F66" s="33">
        <f t="shared" si="37"/>
        <v>460.98</v>
      </c>
      <c r="G66" s="33">
        <f t="shared" si="37"/>
        <v>475.28000000000003</v>
      </c>
      <c r="H66" s="33">
        <f t="shared" si="37"/>
        <v>489.84</v>
      </c>
      <c r="I66" s="33">
        <f t="shared" si="37"/>
        <v>504.14</v>
      </c>
      <c r="J66" s="33">
        <f t="shared" si="37"/>
        <v>518.69999999999993</v>
      </c>
      <c r="K66" s="33">
        <f t="shared" si="37"/>
        <v>533</v>
      </c>
      <c r="L66" s="33">
        <f t="shared" si="37"/>
        <v>547.55999999999995</v>
      </c>
      <c r="M66" s="33">
        <f t="shared" si="37"/>
        <v>561.86</v>
      </c>
    </row>
    <row r="67" spans="1:13" x14ac:dyDescent="0.2">
      <c r="A67" s="13"/>
      <c r="B67" s="13"/>
      <c r="C67" s="16" t="s">
        <v>13</v>
      </c>
      <c r="D67" s="33">
        <f t="shared" ref="D67:M67" si="38">ROUND(D63/2756,2)</f>
        <v>16.62</v>
      </c>
      <c r="E67" s="33">
        <f t="shared" si="38"/>
        <v>17.18</v>
      </c>
      <c r="F67" s="33">
        <f t="shared" si="38"/>
        <v>17.73</v>
      </c>
      <c r="G67" s="33">
        <f t="shared" si="38"/>
        <v>18.28</v>
      </c>
      <c r="H67" s="33">
        <f t="shared" si="38"/>
        <v>18.84</v>
      </c>
      <c r="I67" s="33">
        <f t="shared" si="38"/>
        <v>19.39</v>
      </c>
      <c r="J67" s="33">
        <f t="shared" si="38"/>
        <v>19.95</v>
      </c>
      <c r="K67" s="33">
        <f t="shared" si="38"/>
        <v>20.5</v>
      </c>
      <c r="L67" s="33">
        <f t="shared" si="38"/>
        <v>21.06</v>
      </c>
      <c r="M67" s="33">
        <f t="shared" si="38"/>
        <v>21.61</v>
      </c>
    </row>
    <row r="68" spans="1:13" x14ac:dyDescent="0.2">
      <c r="A68" s="13" t="s">
        <v>15</v>
      </c>
      <c r="B68" s="19">
        <f>($G$3-53)*2</f>
        <v>14</v>
      </c>
      <c r="C68" s="16" t="s">
        <v>42</v>
      </c>
      <c r="D68" s="33">
        <f t="shared" ref="D68:M68" si="39">D69*$B$12</f>
        <v>349.02</v>
      </c>
      <c r="E68" s="33">
        <f t="shared" si="39"/>
        <v>360.78</v>
      </c>
      <c r="F68" s="33">
        <f t="shared" si="39"/>
        <v>372.40000000000003</v>
      </c>
      <c r="G68" s="33">
        <f t="shared" si="39"/>
        <v>383.88</v>
      </c>
      <c r="H68" s="33">
        <f t="shared" si="39"/>
        <v>395.64000000000004</v>
      </c>
      <c r="I68" s="33">
        <f t="shared" si="39"/>
        <v>407.26</v>
      </c>
      <c r="J68" s="33">
        <f t="shared" si="39"/>
        <v>419.02</v>
      </c>
      <c r="K68" s="33">
        <f t="shared" si="39"/>
        <v>430.5</v>
      </c>
      <c r="L68" s="33">
        <f t="shared" si="39"/>
        <v>442.26</v>
      </c>
      <c r="M68" s="33">
        <f t="shared" si="39"/>
        <v>453.88</v>
      </c>
    </row>
    <row r="69" spans="1:13" x14ac:dyDescent="0.2">
      <c r="A69" s="13"/>
      <c r="B69" s="13"/>
      <c r="C69" s="16" t="s">
        <v>14</v>
      </c>
      <c r="D69" s="17">
        <f t="shared" ref="D69:M69" si="40">IF(ROUND(D67*1.5,2)&lt;$G$149,ROUND(D67*1.5,2),IF($G$149&lt;D67,D67,$G$149))</f>
        <v>24.93</v>
      </c>
      <c r="E69" s="17">
        <f t="shared" si="40"/>
        <v>25.77</v>
      </c>
      <c r="F69" s="17">
        <f t="shared" si="40"/>
        <v>26.6</v>
      </c>
      <c r="G69" s="17">
        <f t="shared" si="40"/>
        <v>27.42</v>
      </c>
      <c r="H69" s="17">
        <f t="shared" si="40"/>
        <v>28.26</v>
      </c>
      <c r="I69" s="17">
        <f t="shared" si="40"/>
        <v>29.09</v>
      </c>
      <c r="J69" s="17">
        <f t="shared" si="40"/>
        <v>29.93</v>
      </c>
      <c r="K69" s="17">
        <f t="shared" si="40"/>
        <v>30.75</v>
      </c>
      <c r="L69" s="17">
        <f t="shared" si="40"/>
        <v>31.59</v>
      </c>
      <c r="M69" s="17">
        <f t="shared" si="40"/>
        <v>32.42</v>
      </c>
    </row>
    <row r="70" spans="1:13" s="62" customFormat="1" x14ac:dyDescent="0.2">
      <c r="A70" s="61"/>
      <c r="B70" s="61"/>
      <c r="C70" s="32" t="s">
        <v>46</v>
      </c>
      <c r="D70" s="17">
        <f>(ROUND(D65*'Start Page'!$F$48,2)*80)+(ROUND(D67*'Start Page'!$F$48,2)*($B$15-80))</f>
        <v>0</v>
      </c>
      <c r="E70" s="17">
        <f>(ROUND(E65*'Start Page'!$F$48,2)*80)+(ROUND(E67*'Start Page'!$F$48,2)*($B$15-80))</f>
        <v>0</v>
      </c>
      <c r="F70" s="17">
        <f>(ROUND(F65*'Start Page'!$F$48,2)*80)+(ROUND(F67*'Start Page'!$F$48,2)*($B$15-80))</f>
        <v>0</v>
      </c>
      <c r="G70" s="17">
        <f>(ROUND(G65*'Start Page'!$F$48,2)*80)+(ROUND(G67*'Start Page'!$F$48,2)*($B$15-80))</f>
        <v>0</v>
      </c>
      <c r="H70" s="17">
        <f>(ROUND(H65*'Start Page'!$F$48,2)*80)+(ROUND(H67*'Start Page'!$F$48,2)*($B$15-80))</f>
        <v>0</v>
      </c>
      <c r="I70" s="17">
        <f>(ROUND(I65*'Start Page'!$F$48,2)*80)+(ROUND(I67*'Start Page'!$F$48,2)*($B$15-80))</f>
        <v>0</v>
      </c>
      <c r="J70" s="17">
        <f>(ROUND(J65*'Start Page'!$F$48,2)*80)+(ROUND(J67*'Start Page'!$F$48,2)*($B$15-80))</f>
        <v>0</v>
      </c>
      <c r="K70" s="17">
        <f>(ROUND(K65*'Start Page'!$F$48,2)*80)+(ROUND(K67*'Start Page'!$F$48,2)*($B$15-80))</f>
        <v>0</v>
      </c>
      <c r="L70" s="17">
        <f>(ROUND(L65*'Start Page'!$F$48,2)*80)+(ROUND(L67*'Start Page'!$F$48,2)*($B$15-80))</f>
        <v>0</v>
      </c>
      <c r="M70" s="17">
        <f>(ROUND(M65*'Start Page'!$F$48,2)*80)+(ROUND(M67*'Start Page'!$F$48,2)*($B$15-80))</f>
        <v>0</v>
      </c>
    </row>
    <row r="71" spans="1:13" x14ac:dyDescent="0.2">
      <c r="A71" s="13"/>
      <c r="B71" s="13">
        <f>B64+B66+B68</f>
        <v>120</v>
      </c>
      <c r="C71" s="20" t="s">
        <v>17</v>
      </c>
      <c r="D71" s="34">
        <f t="shared" ref="D71:M71" si="41">D64+D66+D68+D70</f>
        <v>2537.14</v>
      </c>
      <c r="E71" s="34">
        <f t="shared" si="41"/>
        <v>2621.8599999999997</v>
      </c>
      <c r="F71" s="34">
        <f t="shared" si="41"/>
        <v>2706.18</v>
      </c>
      <c r="G71" s="34">
        <f t="shared" si="41"/>
        <v>2791.1600000000003</v>
      </c>
      <c r="H71" s="34">
        <f t="shared" si="41"/>
        <v>2875.8799999999997</v>
      </c>
      <c r="I71" s="34">
        <f t="shared" si="41"/>
        <v>2960.2</v>
      </c>
      <c r="J71" s="34">
        <f t="shared" si="41"/>
        <v>3044.9199999999996</v>
      </c>
      <c r="K71" s="34">
        <f t="shared" si="41"/>
        <v>3129.1</v>
      </c>
      <c r="L71" s="34">
        <f t="shared" si="41"/>
        <v>3214.62</v>
      </c>
      <c r="M71" s="34">
        <f t="shared" si="41"/>
        <v>3298.94</v>
      </c>
    </row>
    <row r="72" spans="1:13" x14ac:dyDescent="0.2">
      <c r="A72" s="13"/>
      <c r="B72" s="13"/>
      <c r="C72" s="20" t="s">
        <v>33</v>
      </c>
      <c r="D72" s="34">
        <f>D71*'Start Page'!$C$65</f>
        <v>65965.64</v>
      </c>
      <c r="E72" s="34">
        <f>E71*'Start Page'!$C$65</f>
        <v>68168.359999999986</v>
      </c>
      <c r="F72" s="34">
        <f>F71*'Start Page'!$C$65</f>
        <v>70360.679999999993</v>
      </c>
      <c r="G72" s="34">
        <f>G71*'Start Page'!$C$65</f>
        <v>72570.16</v>
      </c>
      <c r="H72" s="34">
        <f>H71*'Start Page'!$C$65</f>
        <v>74772.87999999999</v>
      </c>
      <c r="I72" s="34">
        <f>I71*'Start Page'!$C$65</f>
        <v>76965.2</v>
      </c>
      <c r="J72" s="34">
        <f>J71*'Start Page'!$C$65</f>
        <v>79167.919999999984</v>
      </c>
      <c r="K72" s="34">
        <f>K71*'Start Page'!$C$65</f>
        <v>81356.599999999991</v>
      </c>
      <c r="L72" s="34">
        <f>L71*'Start Page'!$C$65</f>
        <v>83580.12</v>
      </c>
      <c r="M72" s="34">
        <f>M71*'Start Page'!$C$65</f>
        <v>85772.44</v>
      </c>
    </row>
    <row r="73" spans="1:13" s="36" customFormat="1" x14ac:dyDescent="0.2">
      <c r="A73" s="22"/>
      <c r="B73" s="22"/>
      <c r="C73" s="23" t="s">
        <v>71</v>
      </c>
      <c r="D73" s="35">
        <f>((D65*80)+(D67*($B$15-80)))*'Start Page'!$C$65</f>
        <v>62940.800000000003</v>
      </c>
      <c r="E73" s="35">
        <f>((E65*80)+(E67*($B$15-80)))*'Start Page'!$C$65</f>
        <v>65041.600000000006</v>
      </c>
      <c r="F73" s="35">
        <f>((F65*80)+(F67*($B$15-80)))*'Start Page'!$C$65</f>
        <v>67132</v>
      </c>
      <c r="G73" s="35">
        <f>((G65*80)+(G67*($B$15-80)))*'Start Page'!$C$65</f>
        <v>69243.199999999997</v>
      </c>
      <c r="H73" s="35">
        <f>((H65*80)+(H67*($B$15-80)))*'Start Page'!$C$65</f>
        <v>71344</v>
      </c>
      <c r="I73" s="35">
        <f>((I65*80)+(I67*($B$15-80)))*'Start Page'!$C$65</f>
        <v>73434.400000000009</v>
      </c>
      <c r="J73" s="35">
        <f>((J65*80)+(J67*($B$15-80)))*'Start Page'!$C$65</f>
        <v>75535.199999999997</v>
      </c>
      <c r="K73" s="35">
        <f>((K65*80)+(K67*($B$15-80)))*'Start Page'!$C$65</f>
        <v>77625.599999999991</v>
      </c>
      <c r="L73" s="35">
        <f>((L65*80)+(L67*($B$15-80)))*'Start Page'!$C$65</f>
        <v>79747.199999999997</v>
      </c>
      <c r="M73" s="121">
        <f>((M65*80)+(M67*($B$15-80)))*'Start Page'!$C$65</f>
        <v>81837.599999999991</v>
      </c>
    </row>
    <row r="74" spans="1:13" x14ac:dyDescent="0.2">
      <c r="A74" s="26"/>
      <c r="B74" s="26"/>
      <c r="C74" s="14" t="s">
        <v>30</v>
      </c>
      <c r="D74" s="118">
        <f>'GS Pay Scale'!B15</f>
        <v>50598</v>
      </c>
      <c r="E74" s="118">
        <f>'GS Pay Scale'!C15</f>
        <v>52285</v>
      </c>
      <c r="F74" s="118">
        <f>'GS Pay Scale'!D15</f>
        <v>53971</v>
      </c>
      <c r="G74" s="118">
        <f>'GS Pay Scale'!E15</f>
        <v>55658</v>
      </c>
      <c r="H74" s="118">
        <f>'GS Pay Scale'!F15</f>
        <v>57345</v>
      </c>
      <c r="I74" s="118">
        <f>'GS Pay Scale'!G15</f>
        <v>59031</v>
      </c>
      <c r="J74" s="118">
        <f>'GS Pay Scale'!H15</f>
        <v>60718</v>
      </c>
      <c r="K74" s="118">
        <f>'GS Pay Scale'!I15</f>
        <v>62405</v>
      </c>
      <c r="L74" s="118">
        <f>'GS Pay Scale'!J15</f>
        <v>64091</v>
      </c>
      <c r="M74" s="118">
        <f>'GS Pay Scale'!K15</f>
        <v>65778</v>
      </c>
    </row>
    <row r="75" spans="1:13" x14ac:dyDescent="0.2">
      <c r="A75" s="13"/>
      <c r="B75" s="13">
        <v>80</v>
      </c>
      <c r="C75" s="32" t="s">
        <v>44</v>
      </c>
      <c r="D75" s="118">
        <f t="shared" ref="D75:M75" si="42">D76*80</f>
        <v>1939.1999999999998</v>
      </c>
      <c r="E75" s="118">
        <f t="shared" si="42"/>
        <v>2004</v>
      </c>
      <c r="F75" s="118">
        <f t="shared" si="42"/>
        <v>2068.8000000000002</v>
      </c>
      <c r="G75" s="118">
        <f t="shared" si="42"/>
        <v>2133.6000000000004</v>
      </c>
      <c r="H75" s="118">
        <f t="shared" si="42"/>
        <v>2198.4</v>
      </c>
      <c r="I75" s="118">
        <f t="shared" si="42"/>
        <v>2263.1999999999998</v>
      </c>
      <c r="J75" s="118">
        <f t="shared" si="42"/>
        <v>2327.1999999999998</v>
      </c>
      <c r="K75" s="118">
        <f t="shared" si="42"/>
        <v>2392</v>
      </c>
      <c r="L75" s="118">
        <f t="shared" si="42"/>
        <v>2456.8000000000002</v>
      </c>
      <c r="M75" s="118">
        <f t="shared" si="42"/>
        <v>2521.6</v>
      </c>
    </row>
    <row r="76" spans="1:13" x14ac:dyDescent="0.2">
      <c r="A76" s="13"/>
      <c r="B76" s="13"/>
      <c r="C76" s="32" t="s">
        <v>20</v>
      </c>
      <c r="D76" s="33">
        <f t="shared" ref="D76:M76" si="43">ROUND(D74/2087,2)</f>
        <v>24.24</v>
      </c>
      <c r="E76" s="33">
        <f t="shared" si="43"/>
        <v>25.05</v>
      </c>
      <c r="F76" s="33">
        <f t="shared" si="43"/>
        <v>25.86</v>
      </c>
      <c r="G76" s="33">
        <f t="shared" si="43"/>
        <v>26.67</v>
      </c>
      <c r="H76" s="33">
        <f t="shared" si="43"/>
        <v>27.48</v>
      </c>
      <c r="I76" s="33">
        <f t="shared" si="43"/>
        <v>28.29</v>
      </c>
      <c r="J76" s="33">
        <f t="shared" si="43"/>
        <v>29.09</v>
      </c>
      <c r="K76" s="33">
        <f t="shared" si="43"/>
        <v>29.9</v>
      </c>
      <c r="L76" s="33">
        <f t="shared" si="43"/>
        <v>30.71</v>
      </c>
      <c r="M76" s="33">
        <f t="shared" si="43"/>
        <v>31.52</v>
      </c>
    </row>
    <row r="77" spans="1:13" x14ac:dyDescent="0.2">
      <c r="A77" s="13"/>
      <c r="B77" s="13">
        <v>26</v>
      </c>
      <c r="C77" s="16" t="s">
        <v>41</v>
      </c>
      <c r="D77" s="33">
        <f t="shared" ref="D77:M77" si="44">D78*26</f>
        <v>477.36</v>
      </c>
      <c r="E77" s="33">
        <f t="shared" si="44"/>
        <v>493.21999999999997</v>
      </c>
      <c r="F77" s="33">
        <f t="shared" si="44"/>
        <v>509.07999999999993</v>
      </c>
      <c r="G77" s="33">
        <f t="shared" si="44"/>
        <v>525.19999999999993</v>
      </c>
      <c r="H77" s="33">
        <f t="shared" si="44"/>
        <v>541.05999999999995</v>
      </c>
      <c r="I77" s="33">
        <f t="shared" si="44"/>
        <v>556.92000000000007</v>
      </c>
      <c r="J77" s="33">
        <f t="shared" si="44"/>
        <v>572.78</v>
      </c>
      <c r="K77" s="33">
        <f t="shared" si="44"/>
        <v>588.64</v>
      </c>
      <c r="L77" s="33">
        <f t="shared" si="44"/>
        <v>604.76</v>
      </c>
      <c r="M77" s="33">
        <f t="shared" si="44"/>
        <v>620.62</v>
      </c>
    </row>
    <row r="78" spans="1:13" x14ac:dyDescent="0.2">
      <c r="A78" s="13"/>
      <c r="B78" s="13"/>
      <c r="C78" s="16" t="s">
        <v>13</v>
      </c>
      <c r="D78" s="33">
        <f t="shared" ref="D78:M78" si="45">ROUND(D74/2756,2)</f>
        <v>18.36</v>
      </c>
      <c r="E78" s="33">
        <f t="shared" si="45"/>
        <v>18.97</v>
      </c>
      <c r="F78" s="33">
        <f t="shared" si="45"/>
        <v>19.579999999999998</v>
      </c>
      <c r="G78" s="33">
        <f t="shared" si="45"/>
        <v>20.2</v>
      </c>
      <c r="H78" s="33">
        <f t="shared" si="45"/>
        <v>20.81</v>
      </c>
      <c r="I78" s="33">
        <f t="shared" si="45"/>
        <v>21.42</v>
      </c>
      <c r="J78" s="33">
        <f t="shared" si="45"/>
        <v>22.03</v>
      </c>
      <c r="K78" s="33">
        <f t="shared" si="45"/>
        <v>22.64</v>
      </c>
      <c r="L78" s="33">
        <f t="shared" si="45"/>
        <v>23.26</v>
      </c>
      <c r="M78" s="33">
        <f t="shared" si="45"/>
        <v>23.87</v>
      </c>
    </row>
    <row r="79" spans="1:13" x14ac:dyDescent="0.2">
      <c r="A79" s="13" t="s">
        <v>21</v>
      </c>
      <c r="B79" s="19">
        <f>($G$3-53)*2</f>
        <v>14</v>
      </c>
      <c r="C79" s="16" t="s">
        <v>42</v>
      </c>
      <c r="D79" s="33">
        <f t="shared" ref="D79:M79" si="46">D80*$B$12</f>
        <v>385.56</v>
      </c>
      <c r="E79" s="33">
        <f t="shared" si="46"/>
        <v>398.44</v>
      </c>
      <c r="F79" s="33">
        <f t="shared" si="46"/>
        <v>411.18</v>
      </c>
      <c r="G79" s="33">
        <f t="shared" si="46"/>
        <v>424.2</v>
      </c>
      <c r="H79" s="33">
        <f t="shared" si="46"/>
        <v>437.08</v>
      </c>
      <c r="I79" s="33">
        <f t="shared" si="46"/>
        <v>449.82000000000005</v>
      </c>
      <c r="J79" s="33">
        <f t="shared" si="46"/>
        <v>462.69999999999993</v>
      </c>
      <c r="K79" s="33">
        <f t="shared" si="46"/>
        <v>475.44</v>
      </c>
      <c r="L79" s="33">
        <f t="shared" si="46"/>
        <v>488.46000000000004</v>
      </c>
      <c r="M79" s="33">
        <f t="shared" si="46"/>
        <v>501.34000000000003</v>
      </c>
    </row>
    <row r="80" spans="1:13" x14ac:dyDescent="0.2">
      <c r="A80" s="13"/>
      <c r="B80" s="13"/>
      <c r="C80" s="16" t="s">
        <v>14</v>
      </c>
      <c r="D80" s="17">
        <f t="shared" ref="D80:M80" si="47">IF(ROUND(D78*1.5,2)&lt;$G$149,ROUND(D78*1.5,2),IF($G$149&lt;D78,D78,$G$149))</f>
        <v>27.54</v>
      </c>
      <c r="E80" s="17">
        <f t="shared" si="47"/>
        <v>28.46</v>
      </c>
      <c r="F80" s="17">
        <f t="shared" si="47"/>
        <v>29.37</v>
      </c>
      <c r="G80" s="17">
        <f t="shared" si="47"/>
        <v>30.3</v>
      </c>
      <c r="H80" s="17">
        <f t="shared" si="47"/>
        <v>31.22</v>
      </c>
      <c r="I80" s="17">
        <f t="shared" si="47"/>
        <v>32.130000000000003</v>
      </c>
      <c r="J80" s="17">
        <f t="shared" si="47"/>
        <v>33.049999999999997</v>
      </c>
      <c r="K80" s="17">
        <f t="shared" si="47"/>
        <v>33.96</v>
      </c>
      <c r="L80" s="17">
        <f t="shared" si="47"/>
        <v>34.89</v>
      </c>
      <c r="M80" s="17">
        <f t="shared" si="47"/>
        <v>35.81</v>
      </c>
    </row>
    <row r="81" spans="1:13" s="62" customFormat="1" x14ac:dyDescent="0.2">
      <c r="A81" s="61"/>
      <c r="B81" s="61"/>
      <c r="C81" s="32" t="s">
        <v>46</v>
      </c>
      <c r="D81" s="17">
        <f>(ROUND(D76*'Start Page'!$F$48,2)*80)+(ROUND(D78*'Start Page'!$F$48,2)*($B$15-80))</f>
        <v>0</v>
      </c>
      <c r="E81" s="17">
        <f>(ROUND(E76*'Start Page'!$F$48,2)*80)+(ROUND(E78*'Start Page'!$F$48,2)*($B$15-80))</f>
        <v>0</v>
      </c>
      <c r="F81" s="17">
        <f>(ROUND(F76*'Start Page'!$F$48,2)*80)+(ROUND(F78*'Start Page'!$F$48,2)*($B$15-80))</f>
        <v>0</v>
      </c>
      <c r="G81" s="17">
        <f>(ROUND(G76*'Start Page'!$F$48,2)*80)+(ROUND(G78*'Start Page'!$F$48,2)*($B$15-80))</f>
        <v>0</v>
      </c>
      <c r="H81" s="17">
        <f>(ROUND(H76*'Start Page'!$F$48,2)*80)+(ROUND(H78*'Start Page'!$F$48,2)*($B$15-80))</f>
        <v>0</v>
      </c>
      <c r="I81" s="17">
        <f>(ROUND(I76*'Start Page'!$F$48,2)*80)+(ROUND(I78*'Start Page'!$F$48,2)*($B$15-80))</f>
        <v>0</v>
      </c>
      <c r="J81" s="17">
        <f>(ROUND(J76*'Start Page'!$F$48,2)*80)+(ROUND(J78*'Start Page'!$F$48,2)*($B$15-80))</f>
        <v>0</v>
      </c>
      <c r="K81" s="17">
        <f>(ROUND(K76*'Start Page'!$F$48,2)*80)+(ROUND(K78*'Start Page'!$F$48,2)*($B$15-80))</f>
        <v>0</v>
      </c>
      <c r="L81" s="17">
        <f>(ROUND(L76*'Start Page'!$F$48,2)*80)+(ROUND(L78*'Start Page'!$F$48,2)*($B$15-80))</f>
        <v>0</v>
      </c>
      <c r="M81" s="17">
        <f>(ROUND(M76*'Start Page'!$F$48,2)*80)+(ROUND(M78*'Start Page'!$F$48,2)*($B$15-80))</f>
        <v>0</v>
      </c>
    </row>
    <row r="82" spans="1:13" x14ac:dyDescent="0.2">
      <c r="A82" s="13"/>
      <c r="B82" s="13">
        <f>B75+B77+B79</f>
        <v>120</v>
      </c>
      <c r="C82" s="20" t="s">
        <v>17</v>
      </c>
      <c r="D82" s="34">
        <f t="shared" ref="D82:M82" si="48">D75+D77+D79+D81</f>
        <v>2802.12</v>
      </c>
      <c r="E82" s="34">
        <f t="shared" si="48"/>
        <v>2895.66</v>
      </c>
      <c r="F82" s="34">
        <f t="shared" si="48"/>
        <v>2989.06</v>
      </c>
      <c r="G82" s="34">
        <f t="shared" si="48"/>
        <v>3083</v>
      </c>
      <c r="H82" s="34">
        <f t="shared" si="48"/>
        <v>3176.54</v>
      </c>
      <c r="I82" s="34">
        <f t="shared" si="48"/>
        <v>3269.94</v>
      </c>
      <c r="J82" s="34">
        <f t="shared" si="48"/>
        <v>3362.6799999999994</v>
      </c>
      <c r="K82" s="34">
        <f t="shared" si="48"/>
        <v>3456.08</v>
      </c>
      <c r="L82" s="34">
        <f t="shared" si="48"/>
        <v>3550.0200000000004</v>
      </c>
      <c r="M82" s="34">
        <f t="shared" si="48"/>
        <v>3643.56</v>
      </c>
    </row>
    <row r="83" spans="1:13" x14ac:dyDescent="0.2">
      <c r="A83" s="13"/>
      <c r="B83" s="13"/>
      <c r="C83" s="20" t="s">
        <v>33</v>
      </c>
      <c r="D83" s="34">
        <f>D82*'Start Page'!$C$65</f>
        <v>72855.12</v>
      </c>
      <c r="E83" s="34">
        <f>E82*'Start Page'!$C$65</f>
        <v>75287.16</v>
      </c>
      <c r="F83" s="34">
        <f>F82*'Start Page'!$C$65</f>
        <v>77715.56</v>
      </c>
      <c r="G83" s="34">
        <f>G82*'Start Page'!$C$65</f>
        <v>80158</v>
      </c>
      <c r="H83" s="34">
        <f>H82*'Start Page'!$C$65</f>
        <v>82590.039999999994</v>
      </c>
      <c r="I83" s="34">
        <f>I82*'Start Page'!$C$65</f>
        <v>85018.44</v>
      </c>
      <c r="J83" s="34">
        <f>J82*'Start Page'!$C$65</f>
        <v>87429.679999999978</v>
      </c>
      <c r="K83" s="34">
        <f>K82*'Start Page'!$C$65</f>
        <v>89858.08</v>
      </c>
      <c r="L83" s="34">
        <f>L82*'Start Page'!$C$65</f>
        <v>92300.520000000019</v>
      </c>
      <c r="M83" s="34">
        <f>M82*'Start Page'!$C$65</f>
        <v>94732.56</v>
      </c>
    </row>
    <row r="84" spans="1:13" s="36" customFormat="1" x14ac:dyDescent="0.2">
      <c r="A84" s="22"/>
      <c r="B84" s="22"/>
      <c r="C84" s="23" t="s">
        <v>71</v>
      </c>
      <c r="D84" s="35">
        <f>((D76*80)+(D78*($B$15-80)))*'Start Page'!$C$65</f>
        <v>69513.599999999991</v>
      </c>
      <c r="E84" s="35">
        <f>((E76*80)+(E78*($B$15-80)))*'Start Page'!$C$65</f>
        <v>71832.800000000003</v>
      </c>
      <c r="F84" s="35">
        <f>((F76*80)+(F78*($B$15-80)))*'Start Page'!$C$65</f>
        <v>74152</v>
      </c>
      <c r="G84" s="35">
        <f>((G76*80)+(G78*($B$15-80)))*'Start Page'!$C$65</f>
        <v>76481.600000000006</v>
      </c>
      <c r="H84" s="35">
        <f>((H76*80)+(H78*($B$15-80)))*'Start Page'!$C$65</f>
        <v>78800.800000000003</v>
      </c>
      <c r="I84" s="35">
        <f>((I76*80)+(I78*($B$15-80)))*'Start Page'!$C$65</f>
        <v>81120</v>
      </c>
      <c r="J84" s="35">
        <f>((J76*80)+(J78*($B$15-80)))*'Start Page'!$C$65</f>
        <v>83418.399999999994</v>
      </c>
      <c r="K84" s="35">
        <f>((K76*80)+(K78*($B$15-80)))*'Start Page'!$C$65</f>
        <v>85737.599999999991</v>
      </c>
      <c r="L84" s="35">
        <f>((L76*80)+(L78*($B$15-80)))*'Start Page'!$C$65</f>
        <v>88067.200000000012</v>
      </c>
      <c r="M84" s="121">
        <f>((M76*80)+(M78*($B$15-80)))*'Start Page'!$C$65</f>
        <v>90386.400000000009</v>
      </c>
    </row>
    <row r="85" spans="1:13" x14ac:dyDescent="0.2">
      <c r="A85" s="26"/>
      <c r="B85" s="26"/>
      <c r="C85" s="14" t="s">
        <v>30</v>
      </c>
      <c r="D85" s="118">
        <f>'GS Pay Scale'!B16</f>
        <v>55720</v>
      </c>
      <c r="E85" s="118">
        <f>'GS Pay Scale'!C16</f>
        <v>57578</v>
      </c>
      <c r="F85" s="118">
        <f>'GS Pay Scale'!D16</f>
        <v>59435</v>
      </c>
      <c r="G85" s="118">
        <f>'GS Pay Scale'!E16</f>
        <v>61293</v>
      </c>
      <c r="H85" s="118">
        <f>'GS Pay Scale'!F16</f>
        <v>63150</v>
      </c>
      <c r="I85" s="118">
        <f>'GS Pay Scale'!G16</f>
        <v>65008</v>
      </c>
      <c r="J85" s="118">
        <f>'GS Pay Scale'!H16</f>
        <v>66865</v>
      </c>
      <c r="K85" s="118">
        <f>'GS Pay Scale'!I16</f>
        <v>68722</v>
      </c>
      <c r="L85" s="118">
        <f>'GS Pay Scale'!J16</f>
        <v>70580</v>
      </c>
      <c r="M85" s="118">
        <f>'GS Pay Scale'!K16</f>
        <v>72437</v>
      </c>
    </row>
    <row r="86" spans="1:13" x14ac:dyDescent="0.2">
      <c r="A86" s="13"/>
      <c r="B86" s="13">
        <v>80</v>
      </c>
      <c r="C86" s="32" t="s">
        <v>44</v>
      </c>
      <c r="D86" s="118">
        <f t="shared" ref="D86:M86" si="49">D87*80</f>
        <v>2136</v>
      </c>
      <c r="E86" s="118">
        <f t="shared" si="49"/>
        <v>2207.1999999999998</v>
      </c>
      <c r="F86" s="118">
        <f t="shared" si="49"/>
        <v>2278.4</v>
      </c>
      <c r="G86" s="118">
        <f t="shared" si="49"/>
        <v>2349.6</v>
      </c>
      <c r="H86" s="118">
        <f t="shared" si="49"/>
        <v>2420.8000000000002</v>
      </c>
      <c r="I86" s="118">
        <f t="shared" si="49"/>
        <v>2492</v>
      </c>
      <c r="J86" s="118">
        <f t="shared" si="49"/>
        <v>2563.1999999999998</v>
      </c>
      <c r="K86" s="118">
        <f t="shared" si="49"/>
        <v>2634.4</v>
      </c>
      <c r="L86" s="118">
        <f t="shared" si="49"/>
        <v>2705.6</v>
      </c>
      <c r="M86" s="118">
        <f t="shared" si="49"/>
        <v>2776.8</v>
      </c>
    </row>
    <row r="87" spans="1:13" x14ac:dyDescent="0.2">
      <c r="A87" s="13"/>
      <c r="B87" s="13"/>
      <c r="C87" s="32" t="s">
        <v>20</v>
      </c>
      <c r="D87" s="33">
        <f t="shared" ref="D87:M87" si="50">ROUND(D85/2087,2)</f>
        <v>26.7</v>
      </c>
      <c r="E87" s="33">
        <f t="shared" si="50"/>
        <v>27.59</v>
      </c>
      <c r="F87" s="33">
        <f t="shared" si="50"/>
        <v>28.48</v>
      </c>
      <c r="G87" s="33">
        <f t="shared" si="50"/>
        <v>29.37</v>
      </c>
      <c r="H87" s="33">
        <f t="shared" si="50"/>
        <v>30.26</v>
      </c>
      <c r="I87" s="33">
        <f t="shared" si="50"/>
        <v>31.15</v>
      </c>
      <c r="J87" s="33">
        <f t="shared" si="50"/>
        <v>32.04</v>
      </c>
      <c r="K87" s="33">
        <f t="shared" si="50"/>
        <v>32.93</v>
      </c>
      <c r="L87" s="33">
        <f t="shared" si="50"/>
        <v>33.82</v>
      </c>
      <c r="M87" s="33">
        <f t="shared" si="50"/>
        <v>34.71</v>
      </c>
    </row>
    <row r="88" spans="1:13" x14ac:dyDescent="0.2">
      <c r="A88" s="13"/>
      <c r="B88" s="13">
        <v>26</v>
      </c>
      <c r="C88" s="16" t="s">
        <v>41</v>
      </c>
      <c r="D88" s="33">
        <f t="shared" ref="D88:M88" si="51">D89*26</f>
        <v>525.72</v>
      </c>
      <c r="E88" s="33">
        <f t="shared" si="51"/>
        <v>543.14</v>
      </c>
      <c r="F88" s="33">
        <f t="shared" si="51"/>
        <v>560.82000000000005</v>
      </c>
      <c r="G88" s="33">
        <f t="shared" si="51"/>
        <v>578.24</v>
      </c>
      <c r="H88" s="33">
        <f t="shared" si="51"/>
        <v>595.66</v>
      </c>
      <c r="I88" s="33">
        <f t="shared" si="51"/>
        <v>613.34</v>
      </c>
      <c r="J88" s="33">
        <f t="shared" si="51"/>
        <v>630.76</v>
      </c>
      <c r="K88" s="33">
        <f t="shared" si="51"/>
        <v>648.44000000000005</v>
      </c>
      <c r="L88" s="33">
        <f t="shared" si="51"/>
        <v>665.86</v>
      </c>
      <c r="M88" s="33">
        <f t="shared" si="51"/>
        <v>683.28</v>
      </c>
    </row>
    <row r="89" spans="1:13" x14ac:dyDescent="0.2">
      <c r="A89" s="13"/>
      <c r="B89" s="13"/>
      <c r="C89" s="16" t="s">
        <v>13</v>
      </c>
      <c r="D89" s="33">
        <f t="shared" ref="D89:M89" si="52">ROUND(D85/2756,2)</f>
        <v>20.22</v>
      </c>
      <c r="E89" s="33">
        <f t="shared" si="52"/>
        <v>20.89</v>
      </c>
      <c r="F89" s="33">
        <f t="shared" si="52"/>
        <v>21.57</v>
      </c>
      <c r="G89" s="33">
        <f t="shared" si="52"/>
        <v>22.24</v>
      </c>
      <c r="H89" s="33">
        <f t="shared" si="52"/>
        <v>22.91</v>
      </c>
      <c r="I89" s="33">
        <f t="shared" si="52"/>
        <v>23.59</v>
      </c>
      <c r="J89" s="33">
        <f t="shared" si="52"/>
        <v>24.26</v>
      </c>
      <c r="K89" s="33">
        <f t="shared" si="52"/>
        <v>24.94</v>
      </c>
      <c r="L89" s="33">
        <f t="shared" si="52"/>
        <v>25.61</v>
      </c>
      <c r="M89" s="33">
        <f t="shared" si="52"/>
        <v>26.28</v>
      </c>
    </row>
    <row r="90" spans="1:13" x14ac:dyDescent="0.2">
      <c r="A90" s="13" t="s">
        <v>25</v>
      </c>
      <c r="B90" s="19">
        <f>($G$3-53)*2</f>
        <v>14</v>
      </c>
      <c r="C90" s="16" t="s">
        <v>42</v>
      </c>
      <c r="D90" s="33">
        <f t="shared" ref="D90:M90" si="53">D91*$B$12</f>
        <v>424.62</v>
      </c>
      <c r="E90" s="33">
        <f t="shared" si="53"/>
        <v>438.76</v>
      </c>
      <c r="F90" s="33">
        <f t="shared" si="53"/>
        <v>453.03999999999996</v>
      </c>
      <c r="G90" s="33">
        <f t="shared" si="53"/>
        <v>467.03999999999996</v>
      </c>
      <c r="H90" s="33">
        <f t="shared" si="53"/>
        <v>481.17999999999995</v>
      </c>
      <c r="I90" s="33">
        <f t="shared" si="53"/>
        <v>495.46000000000004</v>
      </c>
      <c r="J90" s="33">
        <f t="shared" si="53"/>
        <v>509.46000000000004</v>
      </c>
      <c r="K90" s="33">
        <f t="shared" si="53"/>
        <v>523.74</v>
      </c>
      <c r="L90" s="33">
        <f t="shared" si="53"/>
        <v>537.88</v>
      </c>
      <c r="M90" s="33">
        <f t="shared" si="53"/>
        <v>551.88</v>
      </c>
    </row>
    <row r="91" spans="1:13" x14ac:dyDescent="0.2">
      <c r="A91" s="13"/>
      <c r="B91" s="13"/>
      <c r="C91" s="16" t="s">
        <v>14</v>
      </c>
      <c r="D91" s="17">
        <f t="shared" ref="D91:M91" si="54">IF(ROUND(D89*1.5,2)&lt;$G$149,ROUND(D89*1.5,2),IF($G$149&lt;D89,D89,$G$149))</f>
        <v>30.33</v>
      </c>
      <c r="E91" s="17">
        <f t="shared" si="54"/>
        <v>31.34</v>
      </c>
      <c r="F91" s="17">
        <f t="shared" si="54"/>
        <v>32.36</v>
      </c>
      <c r="G91" s="17">
        <f t="shared" si="54"/>
        <v>33.36</v>
      </c>
      <c r="H91" s="17">
        <f t="shared" si="54"/>
        <v>34.369999999999997</v>
      </c>
      <c r="I91" s="17">
        <f t="shared" si="54"/>
        <v>35.39</v>
      </c>
      <c r="J91" s="17">
        <f t="shared" si="54"/>
        <v>36.39</v>
      </c>
      <c r="K91" s="17">
        <f t="shared" si="54"/>
        <v>37.409999999999997</v>
      </c>
      <c r="L91" s="17">
        <f t="shared" si="54"/>
        <v>38.42</v>
      </c>
      <c r="M91" s="17">
        <f t="shared" si="54"/>
        <v>39.42</v>
      </c>
    </row>
    <row r="92" spans="1:13" s="62" customFormat="1" x14ac:dyDescent="0.2">
      <c r="A92" s="61"/>
      <c r="B92" s="61"/>
      <c r="C92" s="32" t="s">
        <v>46</v>
      </c>
      <c r="D92" s="17">
        <f>(ROUND(D87*'Start Page'!$F$48,2)*80)+(ROUND(D89*'Start Page'!$F$48,2)*($B$15-80))</f>
        <v>0</v>
      </c>
      <c r="E92" s="17">
        <f>(ROUND(E87*'Start Page'!$F$48,2)*80)+(ROUND(E89*'Start Page'!$F$48,2)*($B$15-80))</f>
        <v>0</v>
      </c>
      <c r="F92" s="17">
        <f>(ROUND(F87*'Start Page'!$F$48,2)*80)+(ROUND(F89*'Start Page'!$F$48,2)*($B$15-80))</f>
        <v>0</v>
      </c>
      <c r="G92" s="17">
        <f>(ROUND(G87*'Start Page'!$F$48,2)*80)+(ROUND(G89*'Start Page'!$F$48,2)*($B$15-80))</f>
        <v>0</v>
      </c>
      <c r="H92" s="17">
        <f>(ROUND(H87*'Start Page'!$F$48,2)*80)+(ROUND(H89*'Start Page'!$F$48,2)*($B$15-80))</f>
        <v>0</v>
      </c>
      <c r="I92" s="17">
        <f>(ROUND(I87*'Start Page'!$F$48,2)*80)+(ROUND(I89*'Start Page'!$F$48,2)*($B$15-80))</f>
        <v>0</v>
      </c>
      <c r="J92" s="17">
        <f>(ROUND(J87*'Start Page'!$F$48,2)*80)+(ROUND(J89*'Start Page'!$F$48,2)*($B$15-80))</f>
        <v>0</v>
      </c>
      <c r="K92" s="17">
        <f>(ROUND(K87*'Start Page'!$F$48,2)*80)+(ROUND(K89*'Start Page'!$F$48,2)*($B$15-80))</f>
        <v>0</v>
      </c>
      <c r="L92" s="17">
        <f>(ROUND(L87*'Start Page'!$F$48,2)*80)+(ROUND(L89*'Start Page'!$F$48,2)*($B$15-80))</f>
        <v>0</v>
      </c>
      <c r="M92" s="17">
        <f>(ROUND(M87*'Start Page'!$F$48,2)*80)+(ROUND(M89*'Start Page'!$F$48,2)*($B$15-80))</f>
        <v>0</v>
      </c>
    </row>
    <row r="93" spans="1:13" x14ac:dyDescent="0.2">
      <c r="A93" s="13"/>
      <c r="B93" s="13">
        <f>B86+B88+B90</f>
        <v>120</v>
      </c>
      <c r="C93" s="20" t="s">
        <v>17</v>
      </c>
      <c r="D93" s="34">
        <f t="shared" ref="D93:M93" si="55">D86+D88+D90+D92</f>
        <v>3086.34</v>
      </c>
      <c r="E93" s="34">
        <f t="shared" si="55"/>
        <v>3189.0999999999995</v>
      </c>
      <c r="F93" s="34">
        <f t="shared" si="55"/>
        <v>3292.26</v>
      </c>
      <c r="G93" s="34">
        <f t="shared" si="55"/>
        <v>3394.88</v>
      </c>
      <c r="H93" s="34">
        <f t="shared" si="55"/>
        <v>3497.64</v>
      </c>
      <c r="I93" s="34">
        <f t="shared" si="55"/>
        <v>3600.8</v>
      </c>
      <c r="J93" s="34">
        <f t="shared" si="55"/>
        <v>3703.42</v>
      </c>
      <c r="K93" s="34">
        <f t="shared" si="55"/>
        <v>3806.58</v>
      </c>
      <c r="L93" s="34">
        <f t="shared" si="55"/>
        <v>3909.34</v>
      </c>
      <c r="M93" s="34">
        <f t="shared" si="55"/>
        <v>4011.96</v>
      </c>
    </row>
    <row r="94" spans="1:13" x14ac:dyDescent="0.2">
      <c r="A94" s="13"/>
      <c r="B94" s="13"/>
      <c r="C94" s="20" t="s">
        <v>33</v>
      </c>
      <c r="D94" s="34">
        <f>D93*'Start Page'!$C$65</f>
        <v>80244.84</v>
      </c>
      <c r="E94" s="34">
        <f>E93*'Start Page'!$C$65</f>
        <v>82916.599999999991</v>
      </c>
      <c r="F94" s="34">
        <f>F93*'Start Page'!$C$65</f>
        <v>85598.760000000009</v>
      </c>
      <c r="G94" s="34">
        <f>G93*'Start Page'!$C$65</f>
        <v>88266.880000000005</v>
      </c>
      <c r="H94" s="34">
        <f>H93*'Start Page'!$C$65</f>
        <v>90938.64</v>
      </c>
      <c r="I94" s="34">
        <f>I93*'Start Page'!$C$65</f>
        <v>93620.800000000003</v>
      </c>
      <c r="J94" s="34">
        <f>J93*'Start Page'!$C$65</f>
        <v>96288.92</v>
      </c>
      <c r="K94" s="34">
        <f>K93*'Start Page'!$C$65</f>
        <v>98971.08</v>
      </c>
      <c r="L94" s="34">
        <f>L93*'Start Page'!$C$65</f>
        <v>101642.84</v>
      </c>
      <c r="M94" s="34">
        <f>M93*'Start Page'!$C$65</f>
        <v>104310.96</v>
      </c>
    </row>
    <row r="95" spans="1:13" s="36" customFormat="1" x14ac:dyDescent="0.2">
      <c r="A95" s="22"/>
      <c r="B95" s="22"/>
      <c r="C95" s="23" t="s">
        <v>71</v>
      </c>
      <c r="D95" s="35">
        <f>((D87*80)+(D89*($B$15-80)))*'Start Page'!$C$65</f>
        <v>76564.800000000003</v>
      </c>
      <c r="E95" s="35">
        <f>((E87*80)+(E89*($B$15-80)))*'Start Page'!$C$65</f>
        <v>79112.799999999988</v>
      </c>
      <c r="F95" s="35">
        <f>((F87*80)+(F89*($B$15-80)))*'Start Page'!$C$65</f>
        <v>81671.199999999997</v>
      </c>
      <c r="G95" s="35">
        <f>((G87*80)+(G89*($B$15-80)))*'Start Page'!$C$65</f>
        <v>84219.199999999997</v>
      </c>
      <c r="H95" s="35">
        <f>((H87*80)+(H89*($B$15-80)))*'Start Page'!$C$65</f>
        <v>86767.200000000012</v>
      </c>
      <c r="I95" s="35">
        <f>((I87*80)+(I89*($B$15-80)))*'Start Page'!$C$65</f>
        <v>89325.599999999991</v>
      </c>
      <c r="J95" s="35">
        <f>((J87*80)+(J89*($B$15-80)))*'Start Page'!$C$65</f>
        <v>91873.599999999991</v>
      </c>
      <c r="K95" s="35">
        <f>((K87*80)+(K89*($B$15-80)))*'Start Page'!$C$65</f>
        <v>94432</v>
      </c>
      <c r="L95" s="35">
        <f>((L87*80)+(L89*($B$15-80)))*'Start Page'!$C$65</f>
        <v>96980</v>
      </c>
      <c r="M95" s="121">
        <f>((M87*80)+(M89*($B$15-80)))*'Start Page'!$C$65</f>
        <v>99528</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61218</v>
      </c>
      <c r="E97" s="118">
        <f>'GS Pay Scale'!C17</f>
        <v>63259</v>
      </c>
      <c r="F97" s="118">
        <f>'GS Pay Scale'!D17</f>
        <v>65299</v>
      </c>
      <c r="G97" s="118">
        <f>'GS Pay Scale'!E17</f>
        <v>67340</v>
      </c>
      <c r="H97" s="118">
        <f>'GS Pay Scale'!F17</f>
        <v>69381</v>
      </c>
      <c r="I97" s="118">
        <f>'GS Pay Scale'!G17</f>
        <v>71422</v>
      </c>
      <c r="J97" s="118">
        <f>'GS Pay Scale'!H17</f>
        <v>73463</v>
      </c>
      <c r="K97" s="118">
        <f>'GS Pay Scale'!I17</f>
        <v>75504</v>
      </c>
      <c r="L97" s="118">
        <f>'GS Pay Scale'!J17</f>
        <v>77545</v>
      </c>
      <c r="M97" s="118">
        <f>'GS Pay Scale'!K17</f>
        <v>79586</v>
      </c>
    </row>
    <row r="98" spans="1:13" x14ac:dyDescent="0.2">
      <c r="A98" s="13"/>
      <c r="B98" s="13">
        <v>80</v>
      </c>
      <c r="C98" s="32" t="s">
        <v>44</v>
      </c>
      <c r="D98" s="118">
        <f t="shared" ref="D98:M98" si="56">D99*80</f>
        <v>2346.3999999999996</v>
      </c>
      <c r="E98" s="118">
        <f t="shared" si="56"/>
        <v>2424.7999999999997</v>
      </c>
      <c r="F98" s="118">
        <f t="shared" si="56"/>
        <v>2503.1999999999998</v>
      </c>
      <c r="G98" s="118">
        <f t="shared" si="56"/>
        <v>2581.6000000000004</v>
      </c>
      <c r="H98" s="118">
        <f t="shared" si="56"/>
        <v>2659.2000000000003</v>
      </c>
      <c r="I98" s="118">
        <f t="shared" si="56"/>
        <v>2737.6</v>
      </c>
      <c r="J98" s="118">
        <f t="shared" si="56"/>
        <v>2816</v>
      </c>
      <c r="K98" s="118">
        <f t="shared" si="56"/>
        <v>2894.4</v>
      </c>
      <c r="L98" s="118">
        <f t="shared" si="56"/>
        <v>2972.7999999999997</v>
      </c>
      <c r="M98" s="118">
        <f t="shared" si="56"/>
        <v>3050.4</v>
      </c>
    </row>
    <row r="99" spans="1:13" x14ac:dyDescent="0.2">
      <c r="A99" s="13"/>
      <c r="B99" s="13"/>
      <c r="C99" s="32" t="s">
        <v>20</v>
      </c>
      <c r="D99" s="33">
        <f>ROUND(D97/2087,2)</f>
        <v>29.33</v>
      </c>
      <c r="E99" s="33">
        <f t="shared" ref="E99:M99" si="57">ROUND(E97/2087,2)</f>
        <v>30.31</v>
      </c>
      <c r="F99" s="33">
        <f t="shared" si="57"/>
        <v>31.29</v>
      </c>
      <c r="G99" s="33">
        <f t="shared" si="57"/>
        <v>32.270000000000003</v>
      </c>
      <c r="H99" s="33">
        <f t="shared" si="57"/>
        <v>33.24</v>
      </c>
      <c r="I99" s="33">
        <f t="shared" si="57"/>
        <v>34.22</v>
      </c>
      <c r="J99" s="33">
        <f t="shared" si="57"/>
        <v>35.200000000000003</v>
      </c>
      <c r="K99" s="33">
        <f t="shared" si="57"/>
        <v>36.18</v>
      </c>
      <c r="L99" s="33">
        <f t="shared" si="57"/>
        <v>37.159999999999997</v>
      </c>
      <c r="M99" s="33">
        <f t="shared" si="57"/>
        <v>38.130000000000003</v>
      </c>
    </row>
    <row r="100" spans="1:13" x14ac:dyDescent="0.2">
      <c r="A100" s="13"/>
      <c r="B100" s="13">
        <v>26</v>
      </c>
      <c r="C100" s="16" t="s">
        <v>41</v>
      </c>
      <c r="D100" s="33">
        <f t="shared" ref="D100:M100" si="58">D101*26</f>
        <v>577.46</v>
      </c>
      <c r="E100" s="33">
        <f t="shared" si="58"/>
        <v>596.69999999999993</v>
      </c>
      <c r="F100" s="33">
        <f t="shared" si="58"/>
        <v>615.94000000000005</v>
      </c>
      <c r="G100" s="33">
        <f t="shared" si="58"/>
        <v>635.17999999999995</v>
      </c>
      <c r="H100" s="33">
        <f t="shared" si="58"/>
        <v>654.42000000000007</v>
      </c>
      <c r="I100" s="33">
        <f t="shared" si="58"/>
        <v>673.92000000000007</v>
      </c>
      <c r="J100" s="33">
        <f t="shared" si="58"/>
        <v>693.16</v>
      </c>
      <c r="K100" s="33">
        <f t="shared" si="58"/>
        <v>712.4</v>
      </c>
      <c r="L100" s="33">
        <f t="shared" si="58"/>
        <v>731.64</v>
      </c>
      <c r="M100" s="33">
        <f t="shared" si="58"/>
        <v>750.88</v>
      </c>
    </row>
    <row r="101" spans="1:13" x14ac:dyDescent="0.2">
      <c r="A101" s="13"/>
      <c r="B101" s="13"/>
      <c r="C101" s="16" t="s">
        <v>13</v>
      </c>
      <c r="D101" s="33">
        <f>ROUND(D97/2756,2)</f>
        <v>22.21</v>
      </c>
      <c r="E101" s="33">
        <f t="shared" ref="E101:M101" si="59">ROUND(E97/2756,2)</f>
        <v>22.95</v>
      </c>
      <c r="F101" s="33">
        <f t="shared" si="59"/>
        <v>23.69</v>
      </c>
      <c r="G101" s="33">
        <f t="shared" si="59"/>
        <v>24.43</v>
      </c>
      <c r="H101" s="33">
        <f t="shared" si="59"/>
        <v>25.17</v>
      </c>
      <c r="I101" s="33">
        <f t="shared" si="59"/>
        <v>25.92</v>
      </c>
      <c r="J101" s="33">
        <f t="shared" si="59"/>
        <v>26.66</v>
      </c>
      <c r="K101" s="33">
        <f t="shared" si="59"/>
        <v>27.4</v>
      </c>
      <c r="L101" s="33">
        <f t="shared" si="59"/>
        <v>28.14</v>
      </c>
      <c r="M101" s="33">
        <f t="shared" si="59"/>
        <v>28.88</v>
      </c>
    </row>
    <row r="102" spans="1:13" x14ac:dyDescent="0.2">
      <c r="A102" s="13" t="s">
        <v>16</v>
      </c>
      <c r="B102" s="19">
        <f>($G$3-53)*2</f>
        <v>14</v>
      </c>
      <c r="C102" s="16" t="s">
        <v>42</v>
      </c>
      <c r="D102" s="33">
        <f t="shared" ref="D102:M102" si="60">D103*$B$12</f>
        <v>466.48</v>
      </c>
      <c r="E102" s="33">
        <f t="shared" si="60"/>
        <v>482.02</v>
      </c>
      <c r="F102" s="33">
        <f t="shared" si="60"/>
        <v>497.56</v>
      </c>
      <c r="G102" s="33">
        <f t="shared" si="60"/>
        <v>513.1</v>
      </c>
      <c r="H102" s="33">
        <f t="shared" si="60"/>
        <v>528.64</v>
      </c>
      <c r="I102" s="33">
        <f t="shared" si="60"/>
        <v>544.32000000000005</v>
      </c>
      <c r="J102" s="33">
        <f t="shared" si="60"/>
        <v>559.86</v>
      </c>
      <c r="K102" s="33">
        <f t="shared" si="60"/>
        <v>560.69999999999993</v>
      </c>
      <c r="L102" s="33">
        <f t="shared" si="60"/>
        <v>560.69999999999993</v>
      </c>
      <c r="M102" s="33">
        <f t="shared" si="60"/>
        <v>560.69999999999993</v>
      </c>
    </row>
    <row r="103" spans="1:13" x14ac:dyDescent="0.2">
      <c r="A103" s="13"/>
      <c r="B103" s="13"/>
      <c r="C103" s="16" t="s">
        <v>14</v>
      </c>
      <c r="D103" s="17">
        <f>IF(ROUND(D101*1.5,2)&lt;$G$149,ROUND(D101*1.5,2),IF($G$149&lt;D101,D101,$G$149))</f>
        <v>33.32</v>
      </c>
      <c r="E103" s="17">
        <f t="shared" ref="E103:M103" si="61">IF(ROUND(E101*1.5,2)&lt;$G$149,ROUND(E101*1.5,2),IF($G$149&lt;E101,E101,$G$149))</f>
        <v>34.43</v>
      </c>
      <c r="F103" s="17">
        <f t="shared" si="61"/>
        <v>35.54</v>
      </c>
      <c r="G103" s="17">
        <f t="shared" si="61"/>
        <v>36.65</v>
      </c>
      <c r="H103" s="17">
        <f t="shared" si="61"/>
        <v>37.76</v>
      </c>
      <c r="I103" s="17">
        <f t="shared" si="61"/>
        <v>38.880000000000003</v>
      </c>
      <c r="J103" s="17">
        <f t="shared" si="61"/>
        <v>39.99</v>
      </c>
      <c r="K103" s="17">
        <f t="shared" si="61"/>
        <v>40.049999999999997</v>
      </c>
      <c r="L103" s="17">
        <f t="shared" si="61"/>
        <v>40.049999999999997</v>
      </c>
      <c r="M103" s="17">
        <f t="shared" si="61"/>
        <v>40.049999999999997</v>
      </c>
    </row>
    <row r="104" spans="1:13" s="62" customFormat="1" x14ac:dyDescent="0.2">
      <c r="A104" s="61"/>
      <c r="B104" s="61"/>
      <c r="C104" s="32" t="s">
        <v>46</v>
      </c>
      <c r="D104" s="17">
        <f>(ROUND(D99*'Start Page'!$F$48,2)*80)+(ROUND(D101*'Start Page'!$F$48,2)*($B$15-80))</f>
        <v>0</v>
      </c>
      <c r="E104" s="17">
        <f>(ROUND(E99*'Start Page'!$F$48,2)*80)+(ROUND(E101*'Start Page'!$F$48,2)*($B$15-80))</f>
        <v>0</v>
      </c>
      <c r="F104" s="17">
        <f>(ROUND(F99*'Start Page'!$F$48,2)*80)+(ROUND(F101*'Start Page'!$F$48,2)*($B$15-80))</f>
        <v>0</v>
      </c>
      <c r="G104" s="17">
        <f>(ROUND(G99*'Start Page'!$F$48,2)*80)+(ROUND(G101*'Start Page'!$F$48,2)*($B$15-80))</f>
        <v>0</v>
      </c>
      <c r="H104" s="17">
        <f>(ROUND(H99*'Start Page'!$F$48,2)*80)+(ROUND(H101*'Start Page'!$F$48,2)*($B$15-80))</f>
        <v>0</v>
      </c>
      <c r="I104" s="17">
        <f>(ROUND(I99*'Start Page'!$F$48,2)*80)+(ROUND(I101*'Start Page'!$F$48,2)*($B$15-80))</f>
        <v>0</v>
      </c>
      <c r="J104" s="17">
        <f>(ROUND(J99*'Start Page'!$F$48,2)*80)+(ROUND(J101*'Start Page'!$F$48,2)*($B$15-80))</f>
        <v>0</v>
      </c>
      <c r="K104" s="17">
        <f>(ROUND(K99*'Start Page'!$F$48,2)*80)+(ROUND(K101*'Start Page'!$F$48,2)*($B$15-80))</f>
        <v>0</v>
      </c>
      <c r="L104" s="17">
        <f>(ROUND(L99*'Start Page'!$F$48,2)*80)+(ROUND(L101*'Start Page'!$F$48,2)*($B$15-80))</f>
        <v>0</v>
      </c>
      <c r="M104" s="17">
        <f>(ROUND(M99*'Start Page'!$F$48,2)*80)+(ROUND(M101*'Start Page'!$F$48,2)*($B$15-80))</f>
        <v>0</v>
      </c>
    </row>
    <row r="105" spans="1:13" x14ac:dyDescent="0.2">
      <c r="A105" s="13"/>
      <c r="B105" s="13">
        <f>B98+B100+B102</f>
        <v>120</v>
      </c>
      <c r="C105" s="20" t="s">
        <v>17</v>
      </c>
      <c r="D105" s="34">
        <f t="shared" ref="D105:M105" si="62">D98+D100+D102+D104</f>
        <v>3390.3399999999997</v>
      </c>
      <c r="E105" s="34">
        <f t="shared" si="62"/>
        <v>3503.5199999999995</v>
      </c>
      <c r="F105" s="34">
        <f t="shared" si="62"/>
        <v>3616.7</v>
      </c>
      <c r="G105" s="34">
        <f t="shared" si="62"/>
        <v>3729.88</v>
      </c>
      <c r="H105" s="34">
        <f t="shared" si="62"/>
        <v>3842.26</v>
      </c>
      <c r="I105" s="34">
        <f t="shared" si="62"/>
        <v>3955.84</v>
      </c>
      <c r="J105" s="34">
        <f t="shared" si="62"/>
        <v>4069.02</v>
      </c>
      <c r="K105" s="34">
        <f t="shared" si="62"/>
        <v>4167.5</v>
      </c>
      <c r="L105" s="34">
        <f t="shared" si="62"/>
        <v>4265.1399999999994</v>
      </c>
      <c r="M105" s="34">
        <f t="shared" si="62"/>
        <v>4361.9800000000005</v>
      </c>
    </row>
    <row r="106" spans="1:13" x14ac:dyDescent="0.2">
      <c r="A106" s="13"/>
      <c r="B106" s="13"/>
      <c r="C106" s="20" t="s">
        <v>33</v>
      </c>
      <c r="D106" s="34">
        <f>D105*'Start Page'!$C$65</f>
        <v>88148.84</v>
      </c>
      <c r="E106" s="34">
        <f>E105*'Start Page'!$C$65</f>
        <v>91091.51999999999</v>
      </c>
      <c r="F106" s="34">
        <f>F105*'Start Page'!$C$65</f>
        <v>94034.2</v>
      </c>
      <c r="G106" s="34">
        <f>G105*'Start Page'!$C$65</f>
        <v>96976.88</v>
      </c>
      <c r="H106" s="34">
        <f>H105*'Start Page'!$C$65</f>
        <v>99898.760000000009</v>
      </c>
      <c r="I106" s="34">
        <f>I105*'Start Page'!$C$65</f>
        <v>102851.84</v>
      </c>
      <c r="J106" s="34">
        <f>J105*'Start Page'!$C$65</f>
        <v>105794.52</v>
      </c>
      <c r="K106" s="34">
        <f>K105*'Start Page'!$C$65</f>
        <v>108355</v>
      </c>
      <c r="L106" s="34">
        <f>L105*'Start Page'!$C$65</f>
        <v>110893.63999999998</v>
      </c>
      <c r="M106" s="34">
        <f>M105*'Start Page'!$C$65</f>
        <v>113411.48000000001</v>
      </c>
    </row>
    <row r="107" spans="1:13" s="36" customFormat="1" x14ac:dyDescent="0.2">
      <c r="A107" s="22"/>
      <c r="B107" s="22"/>
      <c r="C107" s="23" t="s">
        <v>71</v>
      </c>
      <c r="D107" s="35">
        <f>((D99*80)+(D101*($B$15-80)))*'Start Page'!$C$65</f>
        <v>84104.799999999988</v>
      </c>
      <c r="E107" s="35">
        <f>((E99*80)+(E101*($B$15-80)))*'Start Page'!$C$65</f>
        <v>86912.799999999988</v>
      </c>
      <c r="F107" s="35">
        <f>((F99*80)+(F101*($B$15-80)))*'Start Page'!$C$65</f>
        <v>89720.799999999988</v>
      </c>
      <c r="G107" s="35">
        <f>((G99*80)+(G101*($B$15-80)))*'Start Page'!$C$65</f>
        <v>92528.8</v>
      </c>
      <c r="H107" s="35">
        <f>((H99*80)+(H101*($B$15-80)))*'Start Page'!$C$65</f>
        <v>95316.000000000015</v>
      </c>
      <c r="I107" s="35">
        <f>((I99*80)+(I101*($B$15-80)))*'Start Page'!$C$65</f>
        <v>98134.400000000009</v>
      </c>
      <c r="J107" s="35">
        <f>((J99*80)+(J101*($B$15-80)))*'Start Page'!$C$65</f>
        <v>100942.40000000001</v>
      </c>
      <c r="K107" s="35">
        <f>((K99*80)+(K101*($B$15-80)))*'Start Page'!$C$65</f>
        <v>103750.40000000001</v>
      </c>
      <c r="L107" s="35">
        <f>((L99*80)+(L101*($B$15-80)))*'Start Page'!$C$65</f>
        <v>106558.39999999999</v>
      </c>
      <c r="M107" s="121">
        <f>((M99*80)+(M101*($B$15-80)))*'Start Page'!$C$65</f>
        <v>109345.60000000001</v>
      </c>
    </row>
    <row r="108" spans="1:13" x14ac:dyDescent="0.2">
      <c r="A108" s="26"/>
      <c r="B108" s="26"/>
      <c r="C108" s="14" t="s">
        <v>30</v>
      </c>
      <c r="D108" s="118">
        <f>'GS Pay Scale'!B18</f>
        <v>73375</v>
      </c>
      <c r="E108" s="118">
        <f>'GS Pay Scale'!C18</f>
        <v>75821</v>
      </c>
      <c r="F108" s="118">
        <f>'GS Pay Scale'!D18</f>
        <v>78267</v>
      </c>
      <c r="G108" s="118">
        <f>'GS Pay Scale'!E18</f>
        <v>80713</v>
      </c>
      <c r="H108" s="118">
        <f>'GS Pay Scale'!F18</f>
        <v>83159</v>
      </c>
      <c r="I108" s="118">
        <f>'GS Pay Scale'!G18</f>
        <v>85605</v>
      </c>
      <c r="J108" s="118">
        <f>'GS Pay Scale'!H18</f>
        <v>88050</v>
      </c>
      <c r="K108" s="118">
        <f>'GS Pay Scale'!I18</f>
        <v>90496</v>
      </c>
      <c r="L108" s="118">
        <f>'GS Pay Scale'!J18</f>
        <v>92942</v>
      </c>
      <c r="M108" s="118">
        <f>'GS Pay Scale'!K18</f>
        <v>95388</v>
      </c>
    </row>
    <row r="109" spans="1:13" x14ac:dyDescent="0.2">
      <c r="A109" s="13"/>
      <c r="B109" s="13">
        <v>80</v>
      </c>
      <c r="C109" s="32" t="s">
        <v>44</v>
      </c>
      <c r="D109" s="118">
        <f t="shared" ref="D109:M109" si="63">D110*80</f>
        <v>2812.7999999999997</v>
      </c>
      <c r="E109" s="118">
        <f t="shared" si="63"/>
        <v>2906.3999999999996</v>
      </c>
      <c r="F109" s="118">
        <f t="shared" si="63"/>
        <v>3000</v>
      </c>
      <c r="G109" s="118">
        <f t="shared" si="63"/>
        <v>3093.6000000000004</v>
      </c>
      <c r="H109" s="118">
        <f t="shared" si="63"/>
        <v>3188</v>
      </c>
      <c r="I109" s="118">
        <f t="shared" si="63"/>
        <v>3281.6000000000004</v>
      </c>
      <c r="J109" s="118">
        <f t="shared" si="63"/>
        <v>3375.2</v>
      </c>
      <c r="K109" s="118">
        <f t="shared" si="63"/>
        <v>3468.8</v>
      </c>
      <c r="L109" s="118">
        <f t="shared" si="63"/>
        <v>3562.4</v>
      </c>
      <c r="M109" s="118">
        <f t="shared" si="63"/>
        <v>3656.8</v>
      </c>
    </row>
    <row r="110" spans="1:13" x14ac:dyDescent="0.2">
      <c r="A110" s="13"/>
      <c r="B110" s="13"/>
      <c r="C110" s="32" t="s">
        <v>20</v>
      </c>
      <c r="D110" s="33">
        <f t="shared" ref="D110:M110" si="64">ROUND(D108/2087,2)</f>
        <v>35.159999999999997</v>
      </c>
      <c r="E110" s="33">
        <f t="shared" si="64"/>
        <v>36.33</v>
      </c>
      <c r="F110" s="33">
        <f t="shared" si="64"/>
        <v>37.5</v>
      </c>
      <c r="G110" s="33">
        <f t="shared" si="64"/>
        <v>38.67</v>
      </c>
      <c r="H110" s="33">
        <f t="shared" si="64"/>
        <v>39.85</v>
      </c>
      <c r="I110" s="33">
        <f t="shared" si="64"/>
        <v>41.02</v>
      </c>
      <c r="J110" s="33">
        <f t="shared" si="64"/>
        <v>42.19</v>
      </c>
      <c r="K110" s="33">
        <f t="shared" si="64"/>
        <v>43.36</v>
      </c>
      <c r="L110" s="33">
        <f t="shared" si="64"/>
        <v>44.53</v>
      </c>
      <c r="M110" s="33">
        <f t="shared" si="64"/>
        <v>45.71</v>
      </c>
    </row>
    <row r="111" spans="1:13" x14ac:dyDescent="0.2">
      <c r="A111" s="13"/>
      <c r="B111" s="13">
        <v>26</v>
      </c>
      <c r="C111" s="16" t="s">
        <v>41</v>
      </c>
      <c r="D111" s="33">
        <f t="shared" ref="D111:M111" si="65">D112*26</f>
        <v>692.12</v>
      </c>
      <c r="E111" s="33">
        <f t="shared" si="65"/>
        <v>715.26</v>
      </c>
      <c r="F111" s="33">
        <f t="shared" si="65"/>
        <v>738.4</v>
      </c>
      <c r="G111" s="33">
        <f t="shared" si="65"/>
        <v>761.54</v>
      </c>
      <c r="H111" s="33">
        <f t="shared" si="65"/>
        <v>784.42000000000007</v>
      </c>
      <c r="I111" s="33">
        <f t="shared" si="65"/>
        <v>807.56</v>
      </c>
      <c r="J111" s="33">
        <f t="shared" si="65"/>
        <v>830.69999999999993</v>
      </c>
      <c r="K111" s="33">
        <f t="shared" si="65"/>
        <v>853.84000000000015</v>
      </c>
      <c r="L111" s="33">
        <f t="shared" si="65"/>
        <v>876.72</v>
      </c>
      <c r="M111" s="33">
        <f t="shared" si="65"/>
        <v>899.86</v>
      </c>
    </row>
    <row r="112" spans="1:13" x14ac:dyDescent="0.2">
      <c r="A112" s="13"/>
      <c r="B112" s="13"/>
      <c r="C112" s="16" t="s">
        <v>13</v>
      </c>
      <c r="D112" s="33">
        <f t="shared" ref="D112:M112" si="66">ROUND(D108/2756,2)</f>
        <v>26.62</v>
      </c>
      <c r="E112" s="33">
        <f t="shared" si="66"/>
        <v>27.51</v>
      </c>
      <c r="F112" s="33">
        <f t="shared" si="66"/>
        <v>28.4</v>
      </c>
      <c r="G112" s="33">
        <f t="shared" si="66"/>
        <v>29.29</v>
      </c>
      <c r="H112" s="33">
        <f t="shared" si="66"/>
        <v>30.17</v>
      </c>
      <c r="I112" s="33">
        <f t="shared" si="66"/>
        <v>31.06</v>
      </c>
      <c r="J112" s="33">
        <f t="shared" si="66"/>
        <v>31.95</v>
      </c>
      <c r="K112" s="33">
        <f t="shared" si="66"/>
        <v>32.840000000000003</v>
      </c>
      <c r="L112" s="33">
        <f t="shared" si="66"/>
        <v>33.72</v>
      </c>
      <c r="M112" s="33">
        <f t="shared" si="66"/>
        <v>34.61</v>
      </c>
    </row>
    <row r="113" spans="1:13" x14ac:dyDescent="0.2">
      <c r="A113" s="13" t="s">
        <v>26</v>
      </c>
      <c r="B113" s="19">
        <f>($G$3-53)*2</f>
        <v>14</v>
      </c>
      <c r="C113" s="16" t="s">
        <v>42</v>
      </c>
      <c r="D113" s="33">
        <f t="shared" ref="D113:M113" si="67">D114*$B$12</f>
        <v>559.02</v>
      </c>
      <c r="E113" s="33">
        <f t="shared" si="67"/>
        <v>560.69999999999993</v>
      </c>
      <c r="F113" s="33">
        <f t="shared" si="67"/>
        <v>560.69999999999993</v>
      </c>
      <c r="G113" s="33">
        <f t="shared" si="67"/>
        <v>560.69999999999993</v>
      </c>
      <c r="H113" s="33">
        <f t="shared" si="67"/>
        <v>560.69999999999993</v>
      </c>
      <c r="I113" s="33">
        <f t="shared" si="67"/>
        <v>560.69999999999993</v>
      </c>
      <c r="J113" s="33">
        <f t="shared" si="67"/>
        <v>560.69999999999993</v>
      </c>
      <c r="K113" s="33">
        <f t="shared" si="67"/>
        <v>560.69999999999993</v>
      </c>
      <c r="L113" s="33">
        <f t="shared" si="67"/>
        <v>560.69999999999993</v>
      </c>
      <c r="M113" s="33">
        <f t="shared" si="67"/>
        <v>560.69999999999993</v>
      </c>
    </row>
    <row r="114" spans="1:13" x14ac:dyDescent="0.2">
      <c r="A114" s="13"/>
      <c r="B114" s="13"/>
      <c r="C114" s="16" t="s">
        <v>14</v>
      </c>
      <c r="D114" s="17">
        <f t="shared" ref="D114:M114" si="68">IF(ROUND(D112*1.5,2)&lt;$G$149,ROUND(D112*1.5,2),IF($G$149&lt;D112,D112,$G$149))</f>
        <v>39.93</v>
      </c>
      <c r="E114" s="17">
        <f t="shared" si="68"/>
        <v>40.049999999999997</v>
      </c>
      <c r="F114" s="17">
        <f t="shared" si="68"/>
        <v>40.049999999999997</v>
      </c>
      <c r="G114" s="17">
        <f t="shared" si="68"/>
        <v>40.049999999999997</v>
      </c>
      <c r="H114" s="17">
        <f t="shared" si="68"/>
        <v>40.049999999999997</v>
      </c>
      <c r="I114" s="17">
        <f t="shared" si="68"/>
        <v>40.049999999999997</v>
      </c>
      <c r="J114" s="17">
        <f t="shared" si="68"/>
        <v>40.049999999999997</v>
      </c>
      <c r="K114" s="17">
        <f t="shared" si="68"/>
        <v>40.049999999999997</v>
      </c>
      <c r="L114" s="17">
        <f t="shared" si="68"/>
        <v>40.049999999999997</v>
      </c>
      <c r="M114" s="17">
        <f t="shared" si="68"/>
        <v>40.049999999999997</v>
      </c>
    </row>
    <row r="115" spans="1:13" s="62" customFormat="1" x14ac:dyDescent="0.2">
      <c r="A115" s="61"/>
      <c r="B115" s="61"/>
      <c r="C115" s="32" t="s">
        <v>46</v>
      </c>
      <c r="D115" s="17">
        <f>(ROUND(D110*'Start Page'!$F$48,2)*80)+(ROUND(D112*'Start Page'!$F$48,2)*($B$15-80))</f>
        <v>0</v>
      </c>
      <c r="E115" s="17">
        <f>(ROUND(E110*'Start Page'!$F$48,2)*80)+(ROUND(E112*'Start Page'!$F$48,2)*($B$15-80))</f>
        <v>0</v>
      </c>
      <c r="F115" s="17">
        <f>(ROUND(F110*'Start Page'!$F$48,2)*80)+(ROUND(F112*'Start Page'!$F$48,2)*($B$15-80))</f>
        <v>0</v>
      </c>
      <c r="G115" s="17">
        <f>(ROUND(G110*'Start Page'!$F$48,2)*80)+(ROUND(G112*'Start Page'!$F$48,2)*($B$15-80))</f>
        <v>0</v>
      </c>
      <c r="H115" s="17">
        <f>(ROUND(H110*'Start Page'!$F$48,2)*80)+(ROUND(H112*'Start Page'!$F$48,2)*($B$15-80))</f>
        <v>0</v>
      </c>
      <c r="I115" s="17">
        <f>(ROUND(I110*'Start Page'!$F$48,2)*80)+(ROUND(I112*'Start Page'!$F$48,2)*($B$15-80))</f>
        <v>0</v>
      </c>
      <c r="J115" s="17">
        <f>(ROUND(J110*'Start Page'!$F$48,2)*80)+(ROUND(J112*'Start Page'!$F$48,2)*($B$15-80))</f>
        <v>0</v>
      </c>
      <c r="K115" s="17">
        <f>(ROUND(K110*'Start Page'!$F$48,2)*80)+(ROUND(K112*'Start Page'!$F$48,2)*($B$15-80))</f>
        <v>0</v>
      </c>
      <c r="L115" s="17">
        <f>(ROUND(L110*'Start Page'!$F$48,2)*80)+(ROUND(L112*'Start Page'!$F$48,2)*($B$15-80))</f>
        <v>0</v>
      </c>
      <c r="M115" s="17">
        <f>(ROUND(M110*'Start Page'!$F$48,2)*80)+(ROUND(M112*'Start Page'!$F$48,2)*($B$15-80))</f>
        <v>0</v>
      </c>
    </row>
    <row r="116" spans="1:13" x14ac:dyDescent="0.2">
      <c r="A116" s="13"/>
      <c r="B116" s="13">
        <f>B109+B111+B113</f>
        <v>120</v>
      </c>
      <c r="C116" s="20" t="s">
        <v>17</v>
      </c>
      <c r="D116" s="34">
        <f t="shared" ref="D116:M116" si="69">D109+D111+D113+D115</f>
        <v>4063.9399999999996</v>
      </c>
      <c r="E116" s="34">
        <f t="shared" si="69"/>
        <v>4182.3599999999997</v>
      </c>
      <c r="F116" s="34">
        <f t="shared" si="69"/>
        <v>4299.1000000000004</v>
      </c>
      <c r="G116" s="34">
        <f t="shared" si="69"/>
        <v>4415.84</v>
      </c>
      <c r="H116" s="34">
        <f t="shared" si="69"/>
        <v>4533.12</v>
      </c>
      <c r="I116" s="34">
        <f t="shared" si="69"/>
        <v>4649.8600000000006</v>
      </c>
      <c r="J116" s="34">
        <f t="shared" si="69"/>
        <v>4766.5999999999995</v>
      </c>
      <c r="K116" s="34">
        <f t="shared" si="69"/>
        <v>4883.34</v>
      </c>
      <c r="L116" s="34">
        <f t="shared" si="69"/>
        <v>4999.82</v>
      </c>
      <c r="M116" s="34">
        <f t="shared" si="69"/>
        <v>5117.3599999999997</v>
      </c>
    </row>
    <row r="117" spans="1:13" x14ac:dyDescent="0.2">
      <c r="A117" s="13"/>
      <c r="B117" s="13"/>
      <c r="C117" s="20" t="s">
        <v>33</v>
      </c>
      <c r="D117" s="34">
        <f>D116*'Start Page'!$C$65</f>
        <v>105662.43999999999</v>
      </c>
      <c r="E117" s="34">
        <f>E116*'Start Page'!$C$65</f>
        <v>108741.35999999999</v>
      </c>
      <c r="F117" s="34">
        <f>F116*'Start Page'!$C$65</f>
        <v>111776.6</v>
      </c>
      <c r="G117" s="34">
        <f>G116*'Start Page'!$C$65</f>
        <v>114811.84</v>
      </c>
      <c r="H117" s="34">
        <f>H116*'Start Page'!$C$65</f>
        <v>117861.12</v>
      </c>
      <c r="I117" s="34">
        <f>I116*'Start Page'!$C$65</f>
        <v>120896.36000000002</v>
      </c>
      <c r="J117" s="34">
        <f>J116*'Start Page'!$C$65</f>
        <v>123931.59999999999</v>
      </c>
      <c r="K117" s="34">
        <f>K116*'Start Page'!$C$65</f>
        <v>126966.84</v>
      </c>
      <c r="L117" s="34">
        <f>L116*'Start Page'!$C$65</f>
        <v>129995.31999999999</v>
      </c>
      <c r="M117" s="34">
        <f>M116*'Start Page'!$C$65</f>
        <v>133051.35999999999</v>
      </c>
    </row>
    <row r="118" spans="1:13" s="36" customFormat="1" x14ac:dyDescent="0.2">
      <c r="A118" s="22"/>
      <c r="B118" s="22"/>
      <c r="C118" s="23" t="s">
        <v>71</v>
      </c>
      <c r="D118" s="35">
        <f>((D110*80)+(D112*($B$15-80)))*'Start Page'!$C$65</f>
        <v>100817.59999999999</v>
      </c>
      <c r="E118" s="35">
        <f>((E110*80)+(E112*($B$15-80)))*'Start Page'!$C$65</f>
        <v>104176.79999999999</v>
      </c>
      <c r="F118" s="35">
        <f>((F110*80)+(F112*($B$15-80)))*'Start Page'!$C$65</f>
        <v>107536</v>
      </c>
      <c r="G118" s="35">
        <f>((G110*80)+(G112*($B$15-80)))*'Start Page'!$C$65</f>
        <v>110895.20000000001</v>
      </c>
      <c r="H118" s="35">
        <f>((H110*80)+(H112*($B$15-80)))*'Start Page'!$C$65</f>
        <v>114264.8</v>
      </c>
      <c r="I118" s="35">
        <f>((I110*80)+(I112*($B$15-80)))*'Start Page'!$C$65</f>
        <v>117624</v>
      </c>
      <c r="J118" s="35">
        <f>((J110*80)+(J112*($B$15-80)))*'Start Page'!$C$65</f>
        <v>120983.2</v>
      </c>
      <c r="K118" s="35">
        <f>((K110*80)+(K112*($B$15-80)))*'Start Page'!$C$65</f>
        <v>124342.40000000001</v>
      </c>
      <c r="L118" s="35">
        <f>((L110*80)+(L112*($B$15-80)))*'Start Page'!$C$65</f>
        <v>127691.2</v>
      </c>
      <c r="M118" s="121">
        <f>((M110*80)+(M112*($B$15-80)))*'Start Page'!$C$65</f>
        <v>131071.20000000001</v>
      </c>
    </row>
    <row r="119" spans="1:13" s="36" customFormat="1" x14ac:dyDescent="0.2">
      <c r="A119" s="26"/>
      <c r="B119" s="26"/>
      <c r="C119" s="14" t="s">
        <v>30</v>
      </c>
      <c r="D119" s="118">
        <f>'GS Pay Scale'!B19</f>
        <v>87252</v>
      </c>
      <c r="E119" s="118">
        <f>'GS Pay Scale'!C19</f>
        <v>90161</v>
      </c>
      <c r="F119" s="118">
        <f>'GS Pay Scale'!D19</f>
        <v>93069</v>
      </c>
      <c r="G119" s="118">
        <f>'GS Pay Scale'!E19</f>
        <v>95977</v>
      </c>
      <c r="H119" s="118">
        <f>'GS Pay Scale'!F19</f>
        <v>98886</v>
      </c>
      <c r="I119" s="118">
        <f>'GS Pay Scale'!G19</f>
        <v>101794</v>
      </c>
      <c r="J119" s="118">
        <f>'GS Pay Scale'!H19</f>
        <v>104703</v>
      </c>
      <c r="K119" s="118">
        <f>'GS Pay Scale'!I19</f>
        <v>107611</v>
      </c>
      <c r="L119" s="118">
        <f>'GS Pay Scale'!J19</f>
        <v>110520</v>
      </c>
      <c r="M119" s="118">
        <f>'GS Pay Scale'!K19</f>
        <v>113428</v>
      </c>
    </row>
    <row r="120" spans="1:13" s="36" customFormat="1" x14ac:dyDescent="0.2">
      <c r="A120" s="13"/>
      <c r="B120" s="13">
        <v>80</v>
      </c>
      <c r="C120" s="32" t="s">
        <v>44</v>
      </c>
      <c r="D120" s="118">
        <f t="shared" ref="D120:M120" si="70">D121*80</f>
        <v>3344.8</v>
      </c>
      <c r="E120" s="118">
        <f t="shared" si="70"/>
        <v>3456</v>
      </c>
      <c r="F120" s="118">
        <f t="shared" si="70"/>
        <v>3567.2000000000003</v>
      </c>
      <c r="G120" s="118">
        <f t="shared" si="70"/>
        <v>3679.2000000000003</v>
      </c>
      <c r="H120" s="118">
        <f t="shared" si="70"/>
        <v>3790.4</v>
      </c>
      <c r="I120" s="118">
        <f t="shared" si="70"/>
        <v>3902.4</v>
      </c>
      <c r="J120" s="118">
        <f t="shared" si="70"/>
        <v>4013.6000000000004</v>
      </c>
      <c r="K120" s="118">
        <f t="shared" si="70"/>
        <v>4124.8</v>
      </c>
      <c r="L120" s="118">
        <f t="shared" si="70"/>
        <v>4236.8</v>
      </c>
      <c r="M120" s="118">
        <f t="shared" si="70"/>
        <v>4348</v>
      </c>
    </row>
    <row r="121" spans="1:13" s="36" customFormat="1" x14ac:dyDescent="0.2">
      <c r="A121" s="13"/>
      <c r="B121" s="13"/>
      <c r="C121" s="32" t="s">
        <v>20</v>
      </c>
      <c r="D121" s="33">
        <f t="shared" ref="D121:M121" si="71">ROUND(D119/2087,2)</f>
        <v>41.81</v>
      </c>
      <c r="E121" s="33">
        <f t="shared" si="71"/>
        <v>43.2</v>
      </c>
      <c r="F121" s="33">
        <f t="shared" si="71"/>
        <v>44.59</v>
      </c>
      <c r="G121" s="33">
        <f t="shared" si="71"/>
        <v>45.99</v>
      </c>
      <c r="H121" s="33">
        <f t="shared" si="71"/>
        <v>47.38</v>
      </c>
      <c r="I121" s="33">
        <f t="shared" si="71"/>
        <v>48.78</v>
      </c>
      <c r="J121" s="33">
        <f t="shared" si="71"/>
        <v>50.17</v>
      </c>
      <c r="K121" s="33">
        <f t="shared" si="71"/>
        <v>51.56</v>
      </c>
      <c r="L121" s="33">
        <f t="shared" si="71"/>
        <v>52.96</v>
      </c>
      <c r="M121" s="33">
        <f t="shared" si="71"/>
        <v>54.35</v>
      </c>
    </row>
    <row r="122" spans="1:13" s="36" customFormat="1" x14ac:dyDescent="0.2">
      <c r="A122" s="13"/>
      <c r="B122" s="13">
        <v>26</v>
      </c>
      <c r="C122" s="16" t="s">
        <v>41</v>
      </c>
      <c r="D122" s="33">
        <f t="shared" ref="D122:M122" si="72">D123*26</f>
        <v>823.16</v>
      </c>
      <c r="E122" s="33">
        <f t="shared" si="72"/>
        <v>850.46</v>
      </c>
      <c r="F122" s="33">
        <f t="shared" si="72"/>
        <v>878.0200000000001</v>
      </c>
      <c r="G122" s="33">
        <f t="shared" si="72"/>
        <v>905.32</v>
      </c>
      <c r="H122" s="33">
        <f t="shared" si="72"/>
        <v>932.88000000000011</v>
      </c>
      <c r="I122" s="33">
        <f t="shared" si="72"/>
        <v>960.43999999999994</v>
      </c>
      <c r="J122" s="33">
        <f t="shared" si="72"/>
        <v>987.74</v>
      </c>
      <c r="K122" s="33">
        <f t="shared" si="72"/>
        <v>1015.3</v>
      </c>
      <c r="L122" s="33">
        <f t="shared" si="72"/>
        <v>1042.6000000000001</v>
      </c>
      <c r="M122" s="33">
        <f t="shared" si="72"/>
        <v>1070.1599999999999</v>
      </c>
    </row>
    <row r="123" spans="1:13" s="36" customFormat="1" x14ac:dyDescent="0.2">
      <c r="A123" s="13"/>
      <c r="B123" s="13"/>
      <c r="C123" s="16" t="s">
        <v>13</v>
      </c>
      <c r="D123" s="33">
        <f t="shared" ref="D123:M123" si="73">ROUND(D119/2756,2)</f>
        <v>31.66</v>
      </c>
      <c r="E123" s="33">
        <f t="shared" si="73"/>
        <v>32.71</v>
      </c>
      <c r="F123" s="33">
        <f t="shared" si="73"/>
        <v>33.770000000000003</v>
      </c>
      <c r="G123" s="33">
        <f t="shared" si="73"/>
        <v>34.82</v>
      </c>
      <c r="H123" s="33">
        <f t="shared" si="73"/>
        <v>35.880000000000003</v>
      </c>
      <c r="I123" s="33">
        <f t="shared" si="73"/>
        <v>36.94</v>
      </c>
      <c r="J123" s="33">
        <f t="shared" si="73"/>
        <v>37.99</v>
      </c>
      <c r="K123" s="33">
        <f t="shared" si="73"/>
        <v>39.049999999999997</v>
      </c>
      <c r="L123" s="33">
        <f t="shared" si="73"/>
        <v>40.1</v>
      </c>
      <c r="M123" s="33">
        <f t="shared" si="73"/>
        <v>41.16</v>
      </c>
    </row>
    <row r="124" spans="1:13" s="36" customFormat="1" x14ac:dyDescent="0.2">
      <c r="A124" s="13" t="s">
        <v>31</v>
      </c>
      <c r="B124" s="19">
        <f>($G$3-53)*2</f>
        <v>14</v>
      </c>
      <c r="C124" s="16" t="s">
        <v>42</v>
      </c>
      <c r="D124" s="33">
        <f t="shared" ref="D124:M124" si="74">D125*$B$12</f>
        <v>560.69999999999993</v>
      </c>
      <c r="E124" s="33">
        <f t="shared" si="74"/>
        <v>560.69999999999993</v>
      </c>
      <c r="F124" s="33">
        <f t="shared" si="74"/>
        <v>560.69999999999993</v>
      </c>
      <c r="G124" s="33">
        <f t="shared" si="74"/>
        <v>560.69999999999993</v>
      </c>
      <c r="H124" s="33">
        <f t="shared" si="74"/>
        <v>560.69999999999993</v>
      </c>
      <c r="I124" s="33">
        <f t="shared" si="74"/>
        <v>560.69999999999993</v>
      </c>
      <c r="J124" s="33">
        <f t="shared" si="74"/>
        <v>560.69999999999993</v>
      </c>
      <c r="K124" s="33">
        <f t="shared" si="74"/>
        <v>560.69999999999993</v>
      </c>
      <c r="L124" s="33">
        <f t="shared" si="74"/>
        <v>561.4</v>
      </c>
      <c r="M124" s="33">
        <f t="shared" si="74"/>
        <v>576.24</v>
      </c>
    </row>
    <row r="125" spans="1:13" s="36" customFormat="1" x14ac:dyDescent="0.2">
      <c r="A125" s="13"/>
      <c r="B125" s="13"/>
      <c r="C125" s="16" t="s">
        <v>14</v>
      </c>
      <c r="D125" s="17">
        <f t="shared" ref="D125:M125" si="75">IF(ROUND(D123*1.5,2)&lt;$G$149,ROUND(D123*1.5,2),IF($G$149&lt;D123,D123,$G$149))</f>
        <v>40.049999999999997</v>
      </c>
      <c r="E125" s="17">
        <f t="shared" si="75"/>
        <v>40.049999999999997</v>
      </c>
      <c r="F125" s="17">
        <f t="shared" si="75"/>
        <v>40.049999999999997</v>
      </c>
      <c r="G125" s="17">
        <f t="shared" si="75"/>
        <v>40.049999999999997</v>
      </c>
      <c r="H125" s="17">
        <f t="shared" si="75"/>
        <v>40.049999999999997</v>
      </c>
      <c r="I125" s="17">
        <f t="shared" si="75"/>
        <v>40.049999999999997</v>
      </c>
      <c r="J125" s="17">
        <f t="shared" si="75"/>
        <v>40.049999999999997</v>
      </c>
      <c r="K125" s="17">
        <f t="shared" si="75"/>
        <v>40.049999999999997</v>
      </c>
      <c r="L125" s="17">
        <f t="shared" si="75"/>
        <v>40.1</v>
      </c>
      <c r="M125" s="17">
        <f t="shared" si="75"/>
        <v>41.16</v>
      </c>
    </row>
    <row r="126" spans="1:13" s="36" customFormat="1" x14ac:dyDescent="0.2">
      <c r="A126" s="61"/>
      <c r="B126" s="61"/>
      <c r="C126" s="32" t="s">
        <v>46</v>
      </c>
      <c r="D126" s="17">
        <f>(ROUND(D121*'Start Page'!$F$48,2)*80)+(ROUND(D123*'Start Page'!$F$48,2)*($B$15-80))</f>
        <v>0</v>
      </c>
      <c r="E126" s="17">
        <f>(ROUND(E121*'Start Page'!$F$48,2)*80)+(ROUND(E123*'Start Page'!$F$48,2)*($B$15-80))</f>
        <v>0</v>
      </c>
      <c r="F126" s="17">
        <f>(ROUND(F121*'Start Page'!$F$48,2)*80)+(ROUND(F123*'Start Page'!$F$48,2)*($B$15-80))</f>
        <v>0</v>
      </c>
      <c r="G126" s="17">
        <f>(ROUND(G121*'Start Page'!$F$48,2)*80)+(ROUND(G123*'Start Page'!$F$48,2)*($B$15-80))</f>
        <v>0</v>
      </c>
      <c r="H126" s="17">
        <f>(ROUND(H121*'Start Page'!$F$48,2)*80)+(ROUND(H123*'Start Page'!$F$48,2)*($B$15-80))</f>
        <v>0</v>
      </c>
      <c r="I126" s="17">
        <f>(ROUND(I121*'Start Page'!$F$48,2)*80)+(ROUND(I123*'Start Page'!$F$48,2)*($B$15-80))</f>
        <v>0</v>
      </c>
      <c r="J126" s="17">
        <f>(ROUND(J121*'Start Page'!$F$48,2)*80)+(ROUND(J123*'Start Page'!$F$48,2)*($B$15-80))</f>
        <v>0</v>
      </c>
      <c r="K126" s="17">
        <f>(ROUND(K121*'Start Page'!$F$48,2)*80)+(ROUND(K123*'Start Page'!$F$48,2)*($B$15-80))</f>
        <v>0</v>
      </c>
      <c r="L126" s="17">
        <f>(ROUND(L121*'Start Page'!$F$48,2)*80)+(ROUND(L123*'Start Page'!$F$48,2)*($B$15-80))</f>
        <v>0</v>
      </c>
      <c r="M126" s="17">
        <f>(ROUND(M121*'Start Page'!$F$48,2)*80)+(ROUND(M123*'Start Page'!$F$48,2)*($B$15-80))</f>
        <v>0</v>
      </c>
    </row>
    <row r="127" spans="1:13" s="36" customFormat="1" x14ac:dyDescent="0.2">
      <c r="A127" s="13"/>
      <c r="B127" s="13">
        <f>B120+B122+B124</f>
        <v>120</v>
      </c>
      <c r="C127" s="20" t="s">
        <v>17</v>
      </c>
      <c r="D127" s="34">
        <f t="shared" ref="D127:M127" si="76">D120+D122+D124+D126</f>
        <v>4728.66</v>
      </c>
      <c r="E127" s="34">
        <f t="shared" si="76"/>
        <v>4867.16</v>
      </c>
      <c r="F127" s="34">
        <f t="shared" si="76"/>
        <v>5005.92</v>
      </c>
      <c r="G127" s="34">
        <f t="shared" si="76"/>
        <v>5145.22</v>
      </c>
      <c r="H127" s="34">
        <f t="shared" si="76"/>
        <v>5283.9800000000005</v>
      </c>
      <c r="I127" s="34">
        <f t="shared" si="76"/>
        <v>5423.54</v>
      </c>
      <c r="J127" s="34">
        <f t="shared" si="76"/>
        <v>5562.04</v>
      </c>
      <c r="K127" s="34">
        <f t="shared" si="76"/>
        <v>5700.8</v>
      </c>
      <c r="L127" s="34">
        <f t="shared" si="76"/>
        <v>5840.8</v>
      </c>
      <c r="M127" s="34">
        <f t="shared" si="76"/>
        <v>5994.4</v>
      </c>
    </row>
    <row r="128" spans="1:13" s="36" customFormat="1" x14ac:dyDescent="0.2">
      <c r="A128" s="13"/>
      <c r="B128" s="13"/>
      <c r="C128" s="20" t="s">
        <v>33</v>
      </c>
      <c r="D128" s="34">
        <f>D127*'Start Page'!$C$65</f>
        <v>122945.16</v>
      </c>
      <c r="E128" s="34">
        <f>E127*'Start Page'!$C$65</f>
        <v>126546.16</v>
      </c>
      <c r="F128" s="34">
        <f>F127*'Start Page'!$C$65</f>
        <v>130153.92</v>
      </c>
      <c r="G128" s="34">
        <f>G127*'Start Page'!$C$65</f>
        <v>133775.72</v>
      </c>
      <c r="H128" s="34">
        <f>H127*'Start Page'!$C$65</f>
        <v>137383.48000000001</v>
      </c>
      <c r="I128" s="34">
        <f>I127*'Start Page'!$C$65</f>
        <v>141012.04</v>
      </c>
      <c r="J128" s="34">
        <f>J127*'Start Page'!$C$65</f>
        <v>144613.04</v>
      </c>
      <c r="K128" s="34">
        <f>K127*'Start Page'!$C$65</f>
        <v>148220.80000000002</v>
      </c>
      <c r="L128" s="34">
        <f>L127*'Start Page'!$C$65</f>
        <v>151860.80000000002</v>
      </c>
      <c r="M128" s="34">
        <f>M127*'Start Page'!$C$65</f>
        <v>155854.39999999999</v>
      </c>
    </row>
    <row r="129" spans="1:13" s="36" customFormat="1" x14ac:dyDescent="0.2">
      <c r="A129" s="22"/>
      <c r="B129" s="22"/>
      <c r="C129" s="23" t="s">
        <v>71</v>
      </c>
      <c r="D129" s="35">
        <f>((D121*80)+(D123*($B$15-80)))*'Start Page'!$C$65</f>
        <v>119891.20000000001</v>
      </c>
      <c r="E129" s="35">
        <f>((E121*80)+(E123*($B$15-80)))*'Start Page'!$C$65</f>
        <v>123874.4</v>
      </c>
      <c r="F129" s="35">
        <f>((F121*80)+(F123*($B$15-80)))*'Start Page'!$C$65</f>
        <v>127868</v>
      </c>
      <c r="G129" s="35">
        <f>((G121*80)+(G123*($B$15-80)))*'Start Page'!$C$65</f>
        <v>131872</v>
      </c>
      <c r="H129" s="35">
        <f>((H121*80)+(H123*($B$15-80)))*'Start Page'!$C$65</f>
        <v>135865.60000000001</v>
      </c>
      <c r="I129" s="35">
        <f>((I121*80)+(I123*($B$15-80)))*'Start Page'!$C$65</f>
        <v>139880</v>
      </c>
      <c r="J129" s="35">
        <f>((J121*80)+(J123*($B$15-80)))*'Start Page'!$C$65</f>
        <v>143863.20000000001</v>
      </c>
      <c r="K129" s="35">
        <f>((K121*80)+(K123*($B$15-80)))*'Start Page'!$C$65</f>
        <v>147856.80000000002</v>
      </c>
      <c r="L129" s="35">
        <f>((L121*80)+(L123*($B$15-80)))*'Start Page'!$C$65</f>
        <v>151860.80000000002</v>
      </c>
      <c r="M129" s="121">
        <f>((M121*80)+(M123*($B$15-80)))*'Start Page'!$C$65</f>
        <v>155854.39999999999</v>
      </c>
    </row>
    <row r="130" spans="1:13" x14ac:dyDescent="0.2">
      <c r="A130" s="26"/>
      <c r="B130" s="26"/>
      <c r="C130" s="14" t="s">
        <v>30</v>
      </c>
      <c r="D130" s="118">
        <f>'GS Pay Scale'!B20</f>
        <v>103106</v>
      </c>
      <c r="E130" s="118">
        <f>'GS Pay Scale'!C20</f>
        <v>106543</v>
      </c>
      <c r="F130" s="118">
        <f>'GS Pay Scale'!D20</f>
        <v>109980</v>
      </c>
      <c r="G130" s="118">
        <f>'GS Pay Scale'!E20</f>
        <v>113417</v>
      </c>
      <c r="H130" s="118">
        <f>'GS Pay Scale'!F20</f>
        <v>116854</v>
      </c>
      <c r="I130" s="118">
        <f>'GS Pay Scale'!G20</f>
        <v>120291</v>
      </c>
      <c r="J130" s="118">
        <f>'GS Pay Scale'!H20</f>
        <v>123727</v>
      </c>
      <c r="K130" s="118">
        <f>'GS Pay Scale'!I20</f>
        <v>127164</v>
      </c>
      <c r="L130" s="118">
        <f>'GS Pay Scale'!J20</f>
        <v>130601</v>
      </c>
      <c r="M130" s="118">
        <f>'GS Pay Scale'!K20</f>
        <v>134038</v>
      </c>
    </row>
    <row r="131" spans="1:13" x14ac:dyDescent="0.2">
      <c r="A131" s="13"/>
      <c r="B131" s="13">
        <v>80</v>
      </c>
      <c r="C131" s="32" t="s">
        <v>44</v>
      </c>
      <c r="D131" s="118">
        <f t="shared" ref="D131:M131" si="77">D132*80</f>
        <v>3952</v>
      </c>
      <c r="E131" s="118">
        <f t="shared" si="77"/>
        <v>4084</v>
      </c>
      <c r="F131" s="118">
        <f t="shared" si="77"/>
        <v>4216</v>
      </c>
      <c r="G131" s="118">
        <f t="shared" si="77"/>
        <v>4347.2000000000007</v>
      </c>
      <c r="H131" s="118">
        <f t="shared" si="77"/>
        <v>4479.2</v>
      </c>
      <c r="I131" s="118">
        <f t="shared" si="77"/>
        <v>4611.2</v>
      </c>
      <c r="J131" s="118">
        <f t="shared" si="77"/>
        <v>4742.3999999999996</v>
      </c>
      <c r="K131" s="118">
        <f t="shared" si="77"/>
        <v>4874.3999999999996</v>
      </c>
      <c r="L131" s="118">
        <f t="shared" si="77"/>
        <v>5006.3999999999996</v>
      </c>
      <c r="M131" s="118">
        <f t="shared" si="77"/>
        <v>5138.4000000000005</v>
      </c>
    </row>
    <row r="132" spans="1:13" x14ac:dyDescent="0.2">
      <c r="A132" s="13"/>
      <c r="B132" s="13"/>
      <c r="C132" s="32" t="s">
        <v>20</v>
      </c>
      <c r="D132" s="33">
        <f t="shared" ref="D132:M132" si="78">ROUND(D130/2087,2)</f>
        <v>49.4</v>
      </c>
      <c r="E132" s="33">
        <f t="shared" si="78"/>
        <v>51.05</v>
      </c>
      <c r="F132" s="33">
        <f t="shared" si="78"/>
        <v>52.7</v>
      </c>
      <c r="G132" s="33">
        <f t="shared" si="78"/>
        <v>54.34</v>
      </c>
      <c r="H132" s="33">
        <f t="shared" si="78"/>
        <v>55.99</v>
      </c>
      <c r="I132" s="33">
        <f t="shared" si="78"/>
        <v>57.64</v>
      </c>
      <c r="J132" s="33">
        <f t="shared" si="78"/>
        <v>59.28</v>
      </c>
      <c r="K132" s="33">
        <f t="shared" si="78"/>
        <v>60.93</v>
      </c>
      <c r="L132" s="33">
        <f t="shared" si="78"/>
        <v>62.58</v>
      </c>
      <c r="M132" s="33">
        <f t="shared" si="78"/>
        <v>64.23</v>
      </c>
    </row>
    <row r="133" spans="1:13" x14ac:dyDescent="0.2">
      <c r="A133" s="13"/>
      <c r="B133" s="13">
        <v>26</v>
      </c>
      <c r="C133" s="16" t="s">
        <v>41</v>
      </c>
      <c r="D133" s="33">
        <f t="shared" ref="D133:M133" si="79">D134*26</f>
        <v>972.65999999999985</v>
      </c>
      <c r="E133" s="33">
        <f t="shared" si="79"/>
        <v>1005.1599999999999</v>
      </c>
      <c r="F133" s="33">
        <f t="shared" si="79"/>
        <v>1037.6599999999999</v>
      </c>
      <c r="G133" s="33">
        <f t="shared" si="79"/>
        <v>1069.8999999999999</v>
      </c>
      <c r="H133" s="33">
        <f t="shared" si="79"/>
        <v>1102.3999999999999</v>
      </c>
      <c r="I133" s="33">
        <f t="shared" si="79"/>
        <v>1134.8999999999999</v>
      </c>
      <c r="J133" s="33">
        <f t="shared" si="79"/>
        <v>1167.1400000000001</v>
      </c>
      <c r="K133" s="33">
        <f t="shared" si="79"/>
        <v>1199.6400000000001</v>
      </c>
      <c r="L133" s="33">
        <f t="shared" si="79"/>
        <v>1232.1400000000001</v>
      </c>
      <c r="M133" s="33">
        <f t="shared" si="79"/>
        <v>1264.3800000000001</v>
      </c>
    </row>
    <row r="134" spans="1:13" x14ac:dyDescent="0.2">
      <c r="A134" s="13"/>
      <c r="B134" s="13"/>
      <c r="C134" s="16" t="s">
        <v>13</v>
      </c>
      <c r="D134" s="33">
        <f t="shared" ref="D134:M134" si="80">ROUND(D130/2756,2)</f>
        <v>37.409999999999997</v>
      </c>
      <c r="E134" s="33">
        <f t="shared" si="80"/>
        <v>38.659999999999997</v>
      </c>
      <c r="F134" s="33">
        <f t="shared" si="80"/>
        <v>39.909999999999997</v>
      </c>
      <c r="G134" s="33">
        <f t="shared" si="80"/>
        <v>41.15</v>
      </c>
      <c r="H134" s="33">
        <f t="shared" si="80"/>
        <v>42.4</v>
      </c>
      <c r="I134" s="33">
        <f t="shared" si="80"/>
        <v>43.65</v>
      </c>
      <c r="J134" s="33">
        <f t="shared" si="80"/>
        <v>44.89</v>
      </c>
      <c r="K134" s="33">
        <f t="shared" si="80"/>
        <v>46.14</v>
      </c>
      <c r="L134" s="33">
        <f t="shared" si="80"/>
        <v>47.39</v>
      </c>
      <c r="M134" s="33">
        <f t="shared" si="80"/>
        <v>48.63</v>
      </c>
    </row>
    <row r="135" spans="1:13" x14ac:dyDescent="0.2">
      <c r="A135" s="13" t="s">
        <v>120</v>
      </c>
      <c r="B135" s="19">
        <f>($G$3-53)*2</f>
        <v>14</v>
      </c>
      <c r="C135" s="16" t="s">
        <v>42</v>
      </c>
      <c r="D135" s="33">
        <f t="shared" ref="D135:M135" si="81">D136*$B$12</f>
        <v>560.69999999999993</v>
      </c>
      <c r="E135" s="33">
        <f t="shared" si="81"/>
        <v>560.69999999999993</v>
      </c>
      <c r="F135" s="33">
        <f t="shared" si="81"/>
        <v>560.69999999999993</v>
      </c>
      <c r="G135" s="33">
        <f t="shared" si="81"/>
        <v>576.1</v>
      </c>
      <c r="H135" s="33">
        <f t="shared" si="81"/>
        <v>593.6</v>
      </c>
      <c r="I135" s="33">
        <f t="shared" si="81"/>
        <v>611.1</v>
      </c>
      <c r="J135" s="33">
        <f t="shared" si="81"/>
        <v>628.46</v>
      </c>
      <c r="K135" s="33">
        <f t="shared" si="81"/>
        <v>645.96</v>
      </c>
      <c r="L135" s="33">
        <f t="shared" si="81"/>
        <v>663.46</v>
      </c>
      <c r="M135" s="33">
        <f t="shared" si="81"/>
        <v>680.82</v>
      </c>
    </row>
    <row r="136" spans="1:13" x14ac:dyDescent="0.2">
      <c r="A136" s="13"/>
      <c r="B136" s="13"/>
      <c r="C136" s="16" t="s">
        <v>14</v>
      </c>
      <c r="D136" s="17">
        <f t="shared" ref="D136:M136" si="82">IF(ROUND(D134*1.5,2)&lt;$G$149,ROUND(D134*1.5,2),IF($G$149&lt;D134,D134,$G$149))</f>
        <v>40.049999999999997</v>
      </c>
      <c r="E136" s="17">
        <f t="shared" si="82"/>
        <v>40.049999999999997</v>
      </c>
      <c r="F136" s="17">
        <f t="shared" si="82"/>
        <v>40.049999999999997</v>
      </c>
      <c r="G136" s="17">
        <f t="shared" si="82"/>
        <v>41.15</v>
      </c>
      <c r="H136" s="17">
        <f t="shared" si="82"/>
        <v>42.4</v>
      </c>
      <c r="I136" s="17">
        <f t="shared" si="82"/>
        <v>43.65</v>
      </c>
      <c r="J136" s="17">
        <f t="shared" si="82"/>
        <v>44.89</v>
      </c>
      <c r="K136" s="17">
        <f t="shared" si="82"/>
        <v>46.14</v>
      </c>
      <c r="L136" s="17">
        <f t="shared" si="82"/>
        <v>47.39</v>
      </c>
      <c r="M136" s="17">
        <f t="shared" si="82"/>
        <v>48.63</v>
      </c>
    </row>
    <row r="137" spans="1:13" s="62" customFormat="1" x14ac:dyDescent="0.2">
      <c r="A137" s="61"/>
      <c r="B137" s="61"/>
      <c r="C137" s="32" t="s">
        <v>46</v>
      </c>
      <c r="D137" s="17">
        <f>(ROUND(D132*'Start Page'!$F$48,2)*80)+(ROUND(D134*'Start Page'!$F$48,2)*($B$15-80))</f>
        <v>0</v>
      </c>
      <c r="E137" s="17">
        <f>(ROUND(E132*'Start Page'!$F$48,2)*80)+(ROUND(E134*'Start Page'!$F$48,2)*($B$15-80))</f>
        <v>0</v>
      </c>
      <c r="F137" s="17">
        <f>(ROUND(F132*'Start Page'!$F$48,2)*80)+(ROUND(F134*'Start Page'!$F$48,2)*($B$15-80))</f>
        <v>0</v>
      </c>
      <c r="G137" s="17">
        <f>(ROUND(G132*'Start Page'!$F$48,2)*80)+(ROUND(G134*'Start Page'!$F$48,2)*($B$15-80))</f>
        <v>0</v>
      </c>
      <c r="H137" s="17">
        <f>(ROUND(H132*'Start Page'!$F$48,2)*80)+(ROUND(H134*'Start Page'!$F$48,2)*($B$15-80))</f>
        <v>0</v>
      </c>
      <c r="I137" s="17">
        <f>(ROUND(I132*'Start Page'!$F$48,2)*80)+(ROUND(I134*'Start Page'!$F$48,2)*($B$15-80))</f>
        <v>0</v>
      </c>
      <c r="J137" s="17">
        <f>(ROUND(J132*'Start Page'!$F$48,2)*80)+(ROUND(J134*'Start Page'!$F$48,2)*($B$15-80))</f>
        <v>0</v>
      </c>
      <c r="K137" s="17">
        <f>(ROUND(K132*'Start Page'!$F$48,2)*80)+(ROUND(K134*'Start Page'!$F$48,2)*($B$15-80))</f>
        <v>0</v>
      </c>
      <c r="L137" s="17">
        <f>(ROUND(L132*'Start Page'!$F$48,2)*80)+(ROUND(L134*'Start Page'!$F$48,2)*($B$15-80))</f>
        <v>0</v>
      </c>
      <c r="M137" s="17">
        <f>(ROUND(M132*'Start Page'!$F$48,2)*80)+(ROUND(M134*'Start Page'!$F$48,2)*($B$15-80))</f>
        <v>0</v>
      </c>
    </row>
    <row r="138" spans="1:13" x14ac:dyDescent="0.2">
      <c r="A138" s="13"/>
      <c r="B138" s="13">
        <f>B131+B133+B135</f>
        <v>120</v>
      </c>
      <c r="C138" s="20" t="s">
        <v>17</v>
      </c>
      <c r="D138" s="34">
        <f t="shared" ref="D138:M138" si="83">D131+D133+D135+D137</f>
        <v>5485.36</v>
      </c>
      <c r="E138" s="34">
        <f t="shared" si="83"/>
        <v>5649.86</v>
      </c>
      <c r="F138" s="34">
        <f t="shared" si="83"/>
        <v>5814.36</v>
      </c>
      <c r="G138" s="34">
        <f t="shared" si="83"/>
        <v>5993.2000000000007</v>
      </c>
      <c r="H138" s="34">
        <f t="shared" si="83"/>
        <v>6175.2</v>
      </c>
      <c r="I138" s="34">
        <f t="shared" si="83"/>
        <v>6357.2</v>
      </c>
      <c r="J138" s="34">
        <f t="shared" si="83"/>
        <v>6538</v>
      </c>
      <c r="K138" s="34">
        <f t="shared" si="83"/>
        <v>6720</v>
      </c>
      <c r="L138" s="34">
        <f t="shared" si="83"/>
        <v>6902</v>
      </c>
      <c r="M138" s="34">
        <f t="shared" si="83"/>
        <v>7083.6</v>
      </c>
    </row>
    <row r="139" spans="1:13" x14ac:dyDescent="0.2">
      <c r="A139" s="13"/>
      <c r="B139" s="13"/>
      <c r="C139" s="20" t="s">
        <v>33</v>
      </c>
      <c r="D139" s="34">
        <f>D138*'Start Page'!$C$65</f>
        <v>142619.35999999999</v>
      </c>
      <c r="E139" s="34">
        <f>E138*'Start Page'!$C$65</f>
        <v>146896.35999999999</v>
      </c>
      <c r="F139" s="34">
        <f>F138*'Start Page'!$C$65</f>
        <v>151173.35999999999</v>
      </c>
      <c r="G139" s="34">
        <f>G138*'Start Page'!$C$65</f>
        <v>155823.20000000001</v>
      </c>
      <c r="H139" s="34">
        <f>H138*'Start Page'!$C$65</f>
        <v>160555.19999999998</v>
      </c>
      <c r="I139" s="34">
        <f>I138*'Start Page'!$C$65</f>
        <v>165287.19999999998</v>
      </c>
      <c r="J139" s="34">
        <f>J138*'Start Page'!$C$65</f>
        <v>169988</v>
      </c>
      <c r="K139" s="34">
        <f>K138*'Start Page'!$C$65</f>
        <v>174720</v>
      </c>
      <c r="L139" s="34">
        <f>L138*'Start Page'!$C$65</f>
        <v>179452</v>
      </c>
      <c r="M139" s="34">
        <f>M138*'Start Page'!$C$65</f>
        <v>184173.6</v>
      </c>
    </row>
    <row r="140" spans="1:13" s="36" customFormat="1" x14ac:dyDescent="0.2">
      <c r="A140" s="22"/>
      <c r="B140" s="22"/>
      <c r="C140" s="23" t="s">
        <v>71</v>
      </c>
      <c r="D140" s="35">
        <f>((D132*80)+(D134*($B$15-80)))*'Start Page'!$C$65</f>
        <v>141658.4</v>
      </c>
      <c r="E140" s="35">
        <f>((E132*80)+(E134*($B$15-80)))*'Start Page'!$C$65</f>
        <v>146390.39999999999</v>
      </c>
      <c r="F140" s="35">
        <f>((F132*80)+(F134*($B$15-80)))*'Start Page'!$C$65</f>
        <v>151122.4</v>
      </c>
      <c r="G140" s="35">
        <f>((G132*80)+(G134*($B$15-80)))*'Start Page'!$C$65</f>
        <v>155823.20000000001</v>
      </c>
      <c r="H140" s="35">
        <f>((H132*80)+(H134*($B$15-80)))*'Start Page'!$C$65</f>
        <v>160555.19999999998</v>
      </c>
      <c r="I140" s="35">
        <f>((I132*80)+(I134*($B$15-80)))*'Start Page'!$C$65</f>
        <v>165287.19999999998</v>
      </c>
      <c r="J140" s="35">
        <f>((J132*80)+(J134*($B$15-80)))*'Start Page'!$C$65</f>
        <v>169988</v>
      </c>
      <c r="K140" s="35">
        <f>((K132*80)+(K134*($B$15-80)))*'Start Page'!$C$65</f>
        <v>174720</v>
      </c>
      <c r="L140" s="35">
        <f>((L132*80)+(L134*($B$15-80)))*'Start Page'!$C$65</f>
        <v>179452</v>
      </c>
      <c r="M140" s="121">
        <f>((M132*80)+(M134*($B$15-80)))*'Start Page'!$C$65</f>
        <v>184173.6</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75</v>
      </c>
      <c r="B143" s="28"/>
      <c r="C143" s="7"/>
      <c r="D143" s="7"/>
      <c r="E143" s="7"/>
      <c r="F143" s="7"/>
      <c r="G143" s="7"/>
      <c r="H143" s="7"/>
      <c r="I143" s="7"/>
      <c r="J143" s="7"/>
      <c r="K143" s="7"/>
      <c r="L143" s="7"/>
      <c r="M143" s="7"/>
    </row>
    <row r="144" spans="1:13" x14ac:dyDescent="0.2">
      <c r="A144" s="28" t="s">
        <v>72</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73</v>
      </c>
      <c r="E146" s="38"/>
      <c r="G146" s="40"/>
    </row>
    <row r="147" spans="1:13" x14ac:dyDescent="0.2">
      <c r="A147" s="28" t="s">
        <v>74</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40.049999999999997</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19" display="Return to Start Page"/>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O26"/>
  <sheetViews>
    <sheetView showGridLines="0" workbookViewId="0">
      <selection activeCell="I21" sqref="I21:O21"/>
    </sheetView>
  </sheetViews>
  <sheetFormatPr defaultRowHeight="12.75" x14ac:dyDescent="0.2"/>
  <sheetData>
    <row r="21" spans="3:15" ht="30" x14ac:dyDescent="0.4">
      <c r="C21" s="199" t="s">
        <v>97</v>
      </c>
      <c r="D21" s="199"/>
      <c r="E21" s="199"/>
      <c r="F21" s="199"/>
      <c r="G21" s="199"/>
      <c r="I21" s="199" t="s">
        <v>98</v>
      </c>
      <c r="J21" s="199"/>
      <c r="K21" s="199"/>
      <c r="L21" s="199"/>
      <c r="M21" s="199"/>
      <c r="N21" s="199"/>
      <c r="O21" s="199"/>
    </row>
    <row r="26" spans="3:15" x14ac:dyDescent="0.2">
      <c r="H26" s="200" t="s">
        <v>95</v>
      </c>
      <c r="I26" s="200"/>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hyperlink ref="I21:O21" location="'Chief, Training, Inspectors'!G5" display="Chief / Training / Inspectors"/>
    <hyperlink ref="H26:I26" location="'Start Page'!C19" display="Return to Start Page"/>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J. Fanchi</cp:lastModifiedBy>
  <cp:lastPrinted>2013-12-24T03:33:33Z</cp:lastPrinted>
  <dcterms:created xsi:type="dcterms:W3CDTF">1999-02-27T03:27:03Z</dcterms:created>
  <dcterms:modified xsi:type="dcterms:W3CDTF">2017-12-29T01:10:16Z</dcterms:modified>
</cp:coreProperties>
</file>